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725" windowWidth="15330" windowHeight="4770" tabRatio="849"/>
  </bookViews>
  <sheets>
    <sheet name="Guide" sheetId="2" r:id="rId1"/>
    <sheet name="Set parallel" sheetId="9" r:id="rId2"/>
    <sheet name="Set antiparallel" sheetId="8" r:id="rId3"/>
    <sheet name="Stand vertical" sheetId="12" r:id="rId4"/>
    <sheet name="Stand perpendicular" sheetId="13" r:id="rId5"/>
    <sheet name="Lay across" sheetId="10" r:id="rId6"/>
    <sheet name="Line up" sheetId="6" r:id="rId7"/>
    <sheet name="Aim straight" sheetId="7" r:id="rId8"/>
    <sheet name="Aim with curve" sheetId="21" r:id="rId9"/>
    <sheet name="Curved track &amp; road" sheetId="11" r:id="rId10"/>
    <sheet name="Curved row" sheetId="1" r:id="rId11"/>
    <sheet name="Turn about OBJECT axes" sheetId="4" r:id="rId12"/>
    <sheet name="Turn about world axes" sheetId="3" r:id="rId13"/>
    <sheet name="Shift (no rotation)" sheetId="15" r:id="rId14"/>
    <sheet name="Parallel deviation" sheetId="22" r:id="rId15"/>
    <sheet name="Island split" sheetId="23" r:id="rId16"/>
    <sheet name="Next track section" sheetId="17" r:id="rId17"/>
    <sheet name="Rollercoaster curves" sheetId="20" r:id="rId18"/>
    <sheet name="S countercurve" sheetId="16" r:id="rId19"/>
    <sheet name="S joint" sheetId="18" r:id="rId20"/>
    <sheet name="Curved joint" sheetId="19" r:id="rId21"/>
    <sheet name="Data storage" sheetId="14" r:id="rId22"/>
  </sheets>
  <calcPr calcId="145621"/>
</workbook>
</file>

<file path=xl/calcChain.xml><?xml version="1.0" encoding="utf-8"?>
<calcChain xmlns="http://schemas.openxmlformats.org/spreadsheetml/2006/main">
  <c r="L55" i="7" l="1"/>
  <c r="L54" i="7"/>
  <c r="N55" i="7"/>
  <c r="A58" i="7"/>
  <c r="I59" i="7"/>
  <c r="J59" i="7"/>
  <c r="K59" i="7"/>
  <c r="L76" i="7"/>
  <c r="L75" i="7"/>
  <c r="N76" i="7"/>
  <c r="A79" i="7"/>
  <c r="I80" i="7"/>
  <c r="L80" i="7"/>
  <c r="J80" i="7"/>
  <c r="K80" i="7"/>
  <c r="N80" i="7"/>
  <c r="M80" i="7"/>
  <c r="N88" i="7"/>
  <c r="O88" i="7"/>
  <c r="N89" i="7"/>
  <c r="O89" i="7"/>
  <c r="M96" i="7"/>
  <c r="O96" i="7"/>
  <c r="M97" i="7"/>
  <c r="O97" i="7"/>
  <c r="N102" i="7"/>
  <c r="O102" i="7"/>
  <c r="N103" i="7"/>
  <c r="O103" i="7"/>
  <c r="L29" i="21"/>
  <c r="N29" i="21"/>
  <c r="O31" i="21"/>
  <c r="O30" i="21"/>
  <c r="P31" i="21"/>
  <c r="P30" i="21"/>
  <c r="R31" i="21"/>
  <c r="L59" i="21"/>
  <c r="N59" i="21"/>
  <c r="I67" i="21"/>
  <c r="J67" i="21"/>
  <c r="K67" i="21"/>
  <c r="J119" i="21"/>
  <c r="N139" i="21"/>
  <c r="O139" i="21"/>
  <c r="N140" i="21"/>
  <c r="O140" i="21"/>
  <c r="M147" i="21"/>
  <c r="O147" i="21"/>
  <c r="M148" i="21"/>
  <c r="O148" i="21"/>
  <c r="N153" i="21"/>
  <c r="O153" i="21"/>
  <c r="N154" i="21"/>
  <c r="O154" i="21"/>
  <c r="O30" i="19"/>
  <c r="O29" i="19"/>
  <c r="R30" i="19"/>
  <c r="L33" i="19"/>
  <c r="L34" i="19"/>
  <c r="M33" i="19"/>
  <c r="M34" i="19"/>
  <c r="N33" i="19"/>
  <c r="N34" i="19"/>
  <c r="O39" i="19"/>
  <c r="R39" i="19"/>
  <c r="L42" i="19"/>
  <c r="D45" i="19"/>
  <c r="L43" i="19"/>
  <c r="M42" i="19"/>
  <c r="E45" i="19"/>
  <c r="M43" i="19"/>
  <c r="N42" i="19"/>
  <c r="F45" i="19"/>
  <c r="N43" i="19"/>
  <c r="F60" i="19"/>
  <c r="F82" i="19"/>
  <c r="F31" i="1"/>
  <c r="P34" i="1"/>
  <c r="P33" i="1"/>
  <c r="R40" i="1"/>
  <c r="F42" i="1"/>
  <c r="D43" i="1"/>
  <c r="Q34" i="1"/>
  <c r="Q33" i="1"/>
  <c r="Q40" i="1"/>
  <c r="E42" i="1"/>
  <c r="S34" i="1"/>
  <c r="G56" i="1"/>
  <c r="N56" i="1"/>
  <c r="B80" i="1"/>
  <c r="C80" i="1"/>
  <c r="F113" i="1"/>
  <c r="N115" i="1"/>
  <c r="N116" i="1"/>
  <c r="O115" i="1"/>
  <c r="J120" i="1"/>
  <c r="O116" i="1"/>
  <c r="P115" i="1"/>
  <c r="K120" i="1"/>
  <c r="P116" i="1"/>
  <c r="I120" i="1"/>
  <c r="M133" i="1"/>
  <c r="N133" i="1"/>
  <c r="M134" i="1"/>
  <c r="N134" i="1"/>
  <c r="N138" i="1"/>
  <c r="O138" i="1"/>
  <c r="N139" i="1"/>
  <c r="O139" i="1"/>
  <c r="N142" i="1"/>
  <c r="O142" i="1"/>
  <c r="N143" i="1"/>
  <c r="O143" i="1"/>
  <c r="F162" i="1"/>
  <c r="N162" i="1"/>
  <c r="F163" i="1"/>
  <c r="G163" i="1"/>
  <c r="G167" i="1"/>
  <c r="F167" i="1"/>
  <c r="F171" i="1"/>
  <c r="G171" i="1"/>
  <c r="G176" i="1"/>
  <c r="F176" i="1"/>
  <c r="F195" i="1"/>
  <c r="G195" i="1"/>
  <c r="F199" i="1"/>
  <c r="G199" i="1"/>
  <c r="F203" i="1"/>
  <c r="G203" i="1"/>
  <c r="G208" i="1"/>
  <c r="F208" i="1"/>
  <c r="F227" i="1"/>
  <c r="G227" i="1"/>
  <c r="G235" i="1"/>
  <c r="G240" i="1"/>
  <c r="F231" i="1"/>
  <c r="G231" i="1"/>
  <c r="F235" i="1"/>
  <c r="F240" i="1"/>
  <c r="F259" i="1"/>
  <c r="G259" i="1"/>
  <c r="F263" i="1"/>
  <c r="G263" i="1"/>
  <c r="F267" i="1"/>
  <c r="G267" i="1"/>
  <c r="F272" i="1"/>
  <c r="G272" i="1"/>
  <c r="F291" i="1"/>
  <c r="G291" i="1"/>
  <c r="F295" i="1"/>
  <c r="G295" i="1"/>
  <c r="F299" i="1"/>
  <c r="G299" i="1"/>
  <c r="F304" i="1"/>
  <c r="G304" i="1"/>
  <c r="F323" i="1"/>
  <c r="G323" i="1"/>
  <c r="F327" i="1"/>
  <c r="G327" i="1"/>
  <c r="F331" i="1"/>
  <c r="G331" i="1"/>
  <c r="F336" i="1"/>
  <c r="G336" i="1"/>
  <c r="F355" i="1"/>
  <c r="G355" i="1"/>
  <c r="F359" i="1"/>
  <c r="G359" i="1"/>
  <c r="F363" i="1"/>
  <c r="G363" i="1"/>
  <c r="F368" i="1"/>
  <c r="G368" i="1"/>
  <c r="F387" i="1"/>
  <c r="G387" i="1"/>
  <c r="F391" i="1"/>
  <c r="G391" i="1"/>
  <c r="F395" i="1"/>
  <c r="G395" i="1"/>
  <c r="F400" i="1"/>
  <c r="G400" i="1"/>
  <c r="F419" i="1"/>
  <c r="G419" i="1"/>
  <c r="F423" i="1"/>
  <c r="G423" i="1"/>
  <c r="F427" i="1"/>
  <c r="G427" i="1"/>
  <c r="F432" i="1"/>
  <c r="G432" i="1"/>
  <c r="F451" i="1"/>
  <c r="G451" i="1"/>
  <c r="F455" i="1"/>
  <c r="G455" i="1"/>
  <c r="F459" i="1"/>
  <c r="G459" i="1"/>
  <c r="F464" i="1"/>
  <c r="G464" i="1"/>
  <c r="F483" i="1"/>
  <c r="G483" i="1"/>
  <c r="F487" i="1"/>
  <c r="G487" i="1"/>
  <c r="F491" i="1"/>
  <c r="G491" i="1"/>
  <c r="F496" i="1"/>
  <c r="G496" i="1"/>
  <c r="F25" i="11"/>
  <c r="O28" i="11"/>
  <c r="O27" i="11"/>
  <c r="Q36" i="11"/>
  <c r="P28" i="11"/>
  <c r="P27" i="11"/>
  <c r="R28" i="11"/>
  <c r="P36" i="11"/>
  <c r="E38" i="11"/>
  <c r="F38" i="11"/>
  <c r="D39" i="11"/>
  <c r="E39" i="11"/>
  <c r="J52" i="11"/>
  <c r="J54" i="11"/>
  <c r="J61" i="11"/>
  <c r="J62" i="11"/>
  <c r="J65" i="11"/>
  <c r="J66" i="11"/>
  <c r="I71" i="11"/>
  <c r="L76" i="11"/>
  <c r="O74" i="11"/>
  <c r="F97" i="11"/>
  <c r="L100" i="11"/>
  <c r="N100" i="11"/>
  <c r="E121" i="11"/>
  <c r="F121" i="11"/>
  <c r="F122" i="11"/>
  <c r="G122" i="11"/>
  <c r="E137" i="11"/>
  <c r="F137" i="11"/>
  <c r="F138" i="11"/>
  <c r="G138" i="11"/>
  <c r="F142" i="11"/>
  <c r="G142" i="11"/>
  <c r="F162" i="11"/>
  <c r="G162" i="11"/>
  <c r="F166" i="11"/>
  <c r="G166" i="11"/>
  <c r="F186" i="11"/>
  <c r="G186" i="11"/>
  <c r="F190" i="11"/>
  <c r="G190" i="11"/>
  <c r="F210" i="11"/>
  <c r="G210" i="11"/>
  <c r="F214" i="11"/>
  <c r="G214" i="11"/>
  <c r="F234" i="11"/>
  <c r="G234" i="11"/>
  <c r="F238" i="11"/>
  <c r="G238" i="11"/>
  <c r="F258" i="11"/>
  <c r="G258" i="11"/>
  <c r="F262" i="11"/>
  <c r="G262" i="11"/>
  <c r="F282" i="11"/>
  <c r="G282" i="11"/>
  <c r="F286" i="11"/>
  <c r="G286" i="11"/>
  <c r="F306" i="11"/>
  <c r="G306" i="11"/>
  <c r="F310" i="11"/>
  <c r="G310" i="11"/>
  <c r="F330" i="11"/>
  <c r="G330" i="11"/>
  <c r="G354" i="11"/>
  <c r="F334" i="11"/>
  <c r="G334" i="11"/>
  <c r="G358" i="11"/>
  <c r="F354" i="11"/>
  <c r="F378" i="11"/>
  <c r="F358" i="11"/>
  <c r="F382" i="11"/>
  <c r="G378" i="11"/>
  <c r="G382" i="11"/>
  <c r="J22" i="23"/>
  <c r="J23" i="23"/>
  <c r="J26" i="23"/>
  <c r="J27" i="23"/>
  <c r="E40" i="23"/>
  <c r="D42" i="23"/>
  <c r="G42" i="23"/>
  <c r="D43" i="23"/>
  <c r="I43" i="23"/>
  <c r="J52" i="23"/>
  <c r="D45" i="23"/>
  <c r="C49" i="23"/>
  <c r="J54" i="23"/>
  <c r="I18" i="10"/>
  <c r="I21" i="10"/>
  <c r="H19" i="10"/>
  <c r="H18" i="10"/>
  <c r="J21" i="10"/>
  <c r="I19" i="10"/>
  <c r="K19" i="10"/>
  <c r="N23" i="10"/>
  <c r="O23" i="10"/>
  <c r="N24" i="10"/>
  <c r="O24" i="10"/>
  <c r="M30" i="10"/>
  <c r="O30" i="10"/>
  <c r="M31" i="10"/>
  <c r="O31" i="10"/>
  <c r="M47" i="10"/>
  <c r="N47" i="10"/>
  <c r="M48" i="10"/>
  <c r="N48" i="10"/>
  <c r="I53" i="10"/>
  <c r="M53" i="10"/>
  <c r="H53" i="10"/>
  <c r="N53" i="10"/>
  <c r="K53" i="10"/>
  <c r="O53" i="10"/>
  <c r="M54" i="10"/>
  <c r="N54" i="10"/>
  <c r="O54" i="10"/>
  <c r="N60" i="10"/>
  <c r="O60" i="10"/>
  <c r="N61" i="10"/>
  <c r="O61" i="10"/>
  <c r="M69" i="10"/>
  <c r="N69" i="10"/>
  <c r="M70" i="10"/>
  <c r="N70" i="10"/>
  <c r="M75" i="10"/>
  <c r="J75" i="10"/>
  <c r="N75" i="10"/>
  <c r="O75" i="10"/>
  <c r="M76" i="10"/>
  <c r="N76" i="10"/>
  <c r="O76" i="10"/>
  <c r="N82" i="10"/>
  <c r="O82" i="10"/>
  <c r="N83" i="10"/>
  <c r="O83" i="10"/>
  <c r="M91" i="10"/>
  <c r="J91" i="10"/>
  <c r="H92" i="10"/>
  <c r="N91" i="10"/>
  <c r="O91" i="10"/>
  <c r="M92" i="10"/>
  <c r="N92" i="10"/>
  <c r="O92" i="10"/>
  <c r="J97" i="10"/>
  <c r="M97" i="10"/>
  <c r="N97" i="10"/>
  <c r="O97" i="10"/>
  <c r="M98" i="10"/>
  <c r="I97" i="10"/>
  <c r="N98" i="10"/>
  <c r="O98" i="10"/>
  <c r="N104" i="10"/>
  <c r="O104" i="10"/>
  <c r="N105" i="10"/>
  <c r="O105" i="10"/>
  <c r="J113" i="10"/>
  <c r="H114" i="10"/>
  <c r="M113" i="10"/>
  <c r="N113" i="10"/>
  <c r="O113" i="10"/>
  <c r="M114" i="10"/>
  <c r="I113" i="10"/>
  <c r="I114" i="10"/>
  <c r="N114" i="10"/>
  <c r="O114" i="10"/>
  <c r="M119" i="10"/>
  <c r="J119" i="10"/>
  <c r="N119" i="10"/>
  <c r="O119" i="10"/>
  <c r="M120" i="10"/>
  <c r="N120" i="10"/>
  <c r="O120" i="10"/>
  <c r="N126" i="10"/>
  <c r="O126" i="10"/>
  <c r="N127" i="10"/>
  <c r="O127" i="10"/>
  <c r="O33" i="6"/>
  <c r="R33" i="6"/>
  <c r="N48" i="6"/>
  <c r="O48" i="6"/>
  <c r="N49" i="6"/>
  <c r="O49" i="6"/>
  <c r="M55" i="6"/>
  <c r="O55" i="6"/>
  <c r="M56" i="6"/>
  <c r="O56" i="6"/>
  <c r="M62" i="6"/>
  <c r="N62" i="6"/>
  <c r="M63" i="6"/>
  <c r="N63" i="6"/>
  <c r="N68" i="6"/>
  <c r="O68" i="6"/>
  <c r="N69" i="6"/>
  <c r="O69" i="6"/>
  <c r="N73" i="6"/>
  <c r="O73" i="6"/>
  <c r="N74" i="6"/>
  <c r="O74" i="6"/>
  <c r="L112" i="6"/>
  <c r="I117" i="6"/>
  <c r="L113" i="6"/>
  <c r="M112" i="6"/>
  <c r="J117" i="6"/>
  <c r="M113" i="6"/>
  <c r="N112" i="6"/>
  <c r="K117" i="6"/>
  <c r="N113" i="6"/>
  <c r="N129" i="6"/>
  <c r="O20" i="17"/>
  <c r="O19" i="17"/>
  <c r="P20" i="17"/>
  <c r="P19" i="17"/>
  <c r="R20" i="17"/>
  <c r="L24" i="17"/>
  <c r="N24" i="17"/>
  <c r="J26" i="17"/>
  <c r="K34" i="17"/>
  <c r="J46" i="17"/>
  <c r="K54" i="17"/>
  <c r="J63" i="17"/>
  <c r="E62" i="17"/>
  <c r="D60" i="17"/>
  <c r="F93" i="17"/>
  <c r="J60" i="17"/>
  <c r="E59" i="17"/>
  <c r="D79" i="17"/>
  <c r="F79" i="17"/>
  <c r="D94" i="17"/>
  <c r="F94" i="17"/>
  <c r="D106" i="17"/>
  <c r="I106" i="17"/>
  <c r="D107" i="17"/>
  <c r="I107" i="17"/>
  <c r="D108" i="17"/>
  <c r="I108" i="17"/>
  <c r="D109" i="17"/>
  <c r="I109" i="17"/>
  <c r="D110" i="17"/>
  <c r="I110" i="17"/>
  <c r="J22" i="22"/>
  <c r="J23" i="22"/>
  <c r="J26" i="22"/>
  <c r="J27" i="22"/>
  <c r="E39" i="22"/>
  <c r="D41" i="22"/>
  <c r="G41" i="22"/>
  <c r="D42" i="22"/>
  <c r="I42" i="22"/>
  <c r="J51" i="22"/>
  <c r="D44" i="22"/>
  <c r="C48" i="22"/>
  <c r="J53" i="22"/>
  <c r="O26" i="20"/>
  <c r="O25" i="20"/>
  <c r="P26" i="20"/>
  <c r="P25" i="20"/>
  <c r="R26" i="20"/>
  <c r="L30" i="20"/>
  <c r="N30" i="20"/>
  <c r="J32" i="20"/>
  <c r="D69" i="20"/>
  <c r="E69" i="20"/>
  <c r="F69" i="20"/>
  <c r="G71" i="20"/>
  <c r="J71" i="20"/>
  <c r="J72" i="20"/>
  <c r="E71" i="20"/>
  <c r="E73" i="20"/>
  <c r="E86" i="20"/>
  <c r="G73" i="20"/>
  <c r="H75" i="20"/>
  <c r="H76" i="20"/>
  <c r="E77" i="20"/>
  <c r="E78" i="20"/>
  <c r="E85" i="20"/>
  <c r="J85" i="20"/>
  <c r="G85" i="20"/>
  <c r="G86" i="20"/>
  <c r="J86" i="20"/>
  <c r="H89" i="20"/>
  <c r="H90" i="20"/>
  <c r="D100" i="20"/>
  <c r="B116" i="20"/>
  <c r="I119" i="20"/>
  <c r="O27" i="16"/>
  <c r="R27" i="16"/>
  <c r="J39" i="16"/>
  <c r="J41" i="16"/>
  <c r="J48" i="16"/>
  <c r="J49" i="16"/>
  <c r="J52" i="16"/>
  <c r="J53" i="16"/>
  <c r="I58" i="16"/>
  <c r="J84" i="16"/>
  <c r="P62" i="16"/>
  <c r="H63" i="16"/>
  <c r="L63" i="16"/>
  <c r="J64" i="16"/>
  <c r="M64" i="16"/>
  <c r="L61" i="16"/>
  <c r="L77" i="16"/>
  <c r="N77" i="16"/>
  <c r="O29" i="18"/>
  <c r="R29" i="18"/>
  <c r="L32" i="18"/>
  <c r="L33" i="18"/>
  <c r="M32" i="18"/>
  <c r="E54" i="18"/>
  <c r="M33" i="18"/>
  <c r="N32" i="18"/>
  <c r="N33" i="18"/>
  <c r="O38" i="18"/>
  <c r="R38" i="18"/>
  <c r="L41" i="18"/>
  <c r="D44" i="18"/>
  <c r="L42" i="18"/>
  <c r="M41" i="18"/>
  <c r="M42" i="18"/>
  <c r="N41" i="18"/>
  <c r="F44" i="18"/>
  <c r="N42" i="18"/>
  <c r="F85" i="18"/>
  <c r="L92" i="18"/>
  <c r="H14" i="8"/>
  <c r="H13" i="8"/>
  <c r="I14" i="8"/>
  <c r="I13" i="8"/>
  <c r="K15" i="8"/>
  <c r="K14" i="8"/>
  <c r="J15" i="8"/>
  <c r="L23" i="15"/>
  <c r="L24" i="15"/>
  <c r="M23" i="15"/>
  <c r="M24" i="15"/>
  <c r="N23" i="15"/>
  <c r="N24" i="15"/>
  <c r="L28" i="15"/>
  <c r="L29" i="15"/>
  <c r="M29" i="15"/>
  <c r="N28" i="15"/>
  <c r="K32" i="15"/>
  <c r="N29" i="15"/>
  <c r="I32" i="15"/>
  <c r="L45" i="15"/>
  <c r="N45" i="15"/>
  <c r="H20" i="13"/>
  <c r="J23" i="13"/>
  <c r="H21" i="13"/>
  <c r="I21" i="13"/>
  <c r="K21" i="13"/>
  <c r="N25" i="13"/>
  <c r="O25" i="13"/>
  <c r="N26" i="13"/>
  <c r="O26" i="13"/>
  <c r="M32" i="13"/>
  <c r="O32" i="13"/>
  <c r="M33" i="13"/>
  <c r="O33" i="13"/>
  <c r="H52" i="13"/>
  <c r="H51" i="13"/>
  <c r="J54" i="13"/>
  <c r="K52" i="13"/>
  <c r="N56" i="13"/>
  <c r="O56" i="13"/>
  <c r="N57" i="13"/>
  <c r="O57" i="13"/>
  <c r="M63" i="13"/>
  <c r="O63" i="13"/>
  <c r="M64" i="13"/>
  <c r="O64" i="13"/>
  <c r="H16" i="12"/>
  <c r="H15" i="12"/>
  <c r="J18" i="12"/>
  <c r="I16" i="12"/>
  <c r="I15" i="12"/>
  <c r="I18" i="12"/>
  <c r="K16" i="12"/>
  <c r="N20" i="12"/>
  <c r="O20" i="12"/>
  <c r="N21" i="12"/>
  <c r="O21" i="12"/>
  <c r="M27" i="12"/>
  <c r="O27" i="12"/>
  <c r="M28" i="12"/>
  <c r="O28" i="12"/>
  <c r="N39" i="12"/>
  <c r="O39" i="12"/>
  <c r="N40" i="12"/>
  <c r="O40" i="12"/>
  <c r="H43" i="4"/>
  <c r="H42" i="4"/>
  <c r="K43" i="4"/>
  <c r="N47" i="4"/>
  <c r="O47" i="4"/>
  <c r="N48" i="4"/>
  <c r="O48" i="4"/>
  <c r="M54" i="4"/>
  <c r="O54" i="4"/>
  <c r="M55" i="4"/>
  <c r="O55" i="4"/>
  <c r="M61" i="4"/>
  <c r="N61" i="4"/>
  <c r="M62" i="4"/>
  <c r="N62" i="4"/>
  <c r="M68" i="4"/>
  <c r="O68" i="4"/>
  <c r="M69" i="4"/>
  <c r="O69" i="4"/>
  <c r="N75" i="4"/>
  <c r="O75" i="4"/>
  <c r="N76" i="4"/>
  <c r="O76" i="4"/>
  <c r="M82" i="4"/>
  <c r="N82" i="4"/>
  <c r="M83" i="4"/>
  <c r="N83" i="4"/>
  <c r="M89" i="4"/>
  <c r="O89" i="4"/>
  <c r="M90" i="4"/>
  <c r="O90" i="4"/>
  <c r="N96" i="4"/>
  <c r="O96" i="4"/>
  <c r="N97" i="4"/>
  <c r="O97" i="4"/>
  <c r="M116" i="4"/>
  <c r="N116" i="4"/>
  <c r="O116" i="4"/>
  <c r="M117" i="4"/>
  <c r="N117" i="4"/>
  <c r="O117" i="4"/>
  <c r="A118" i="4"/>
  <c r="P122" i="4"/>
  <c r="H124" i="4"/>
  <c r="H133" i="4"/>
  <c r="P133" i="4"/>
  <c r="H142" i="4"/>
  <c r="P142" i="4"/>
  <c r="H51" i="3"/>
  <c r="H50" i="3"/>
  <c r="K51" i="3"/>
  <c r="N55" i="3"/>
  <c r="O55" i="3"/>
  <c r="N56" i="3"/>
  <c r="O56" i="3"/>
  <c r="M62" i="3"/>
  <c r="O62" i="3"/>
  <c r="M63" i="3"/>
  <c r="O63" i="3"/>
  <c r="H75" i="3"/>
  <c r="I75" i="3"/>
  <c r="J75" i="3"/>
  <c r="K75" i="3"/>
  <c r="M86" i="3"/>
  <c r="H86" i="3"/>
  <c r="N86" i="3"/>
  <c r="O86" i="3"/>
  <c r="M87" i="3"/>
  <c r="I86" i="3"/>
  <c r="I88" i="3"/>
  <c r="N87" i="3"/>
  <c r="O87" i="3"/>
  <c r="A88" i="3"/>
  <c r="M93" i="3"/>
  <c r="H93" i="3"/>
  <c r="N93" i="3"/>
  <c r="K93" i="3"/>
  <c r="O93" i="3"/>
  <c r="M94" i="3"/>
  <c r="I93" i="3"/>
  <c r="N94" i="3"/>
  <c r="O94" i="3"/>
  <c r="A95" i="3"/>
  <c r="M100" i="3"/>
  <c r="H100" i="3"/>
  <c r="N100" i="3"/>
  <c r="O100" i="3"/>
  <c r="M101" i="3"/>
  <c r="I100" i="3"/>
  <c r="N101" i="3"/>
  <c r="O101" i="3"/>
  <c r="A102" i="3"/>
  <c r="N114" i="3"/>
  <c r="O114" i="3"/>
  <c r="N115" i="3"/>
  <c r="O115" i="3"/>
  <c r="M121" i="3"/>
  <c r="O121" i="3"/>
  <c r="M122" i="3"/>
  <c r="O122" i="3"/>
  <c r="M133" i="3"/>
  <c r="N133" i="3"/>
  <c r="M134" i="3"/>
  <c r="N134" i="3"/>
  <c r="M139" i="3"/>
  <c r="O139" i="3"/>
  <c r="M140" i="3"/>
  <c r="O140" i="3"/>
  <c r="N146" i="3"/>
  <c r="O146" i="3"/>
  <c r="N147" i="3"/>
  <c r="O147" i="3"/>
  <c r="M155" i="3"/>
  <c r="N155" i="3"/>
  <c r="M156" i="3"/>
  <c r="N156" i="3"/>
  <c r="M161" i="3"/>
  <c r="O161" i="3"/>
  <c r="M162" i="3"/>
  <c r="O162" i="3"/>
  <c r="N168" i="3"/>
  <c r="O168" i="3"/>
  <c r="N169" i="3"/>
  <c r="O169" i="3"/>
  <c r="M177" i="3"/>
  <c r="K177" i="3"/>
  <c r="N177" i="3"/>
  <c r="O177" i="3"/>
  <c r="M178" i="3"/>
  <c r="I177" i="3"/>
  <c r="N178" i="3"/>
  <c r="O178" i="3"/>
  <c r="M186" i="3"/>
  <c r="H186" i="3"/>
  <c r="N186" i="3"/>
  <c r="K186" i="3"/>
  <c r="O186" i="3"/>
  <c r="M187" i="3"/>
  <c r="I186" i="3"/>
  <c r="N187" i="3"/>
  <c r="O187" i="3"/>
  <c r="M195" i="3"/>
  <c r="K195" i="3"/>
  <c r="N195" i="3"/>
  <c r="O195" i="3"/>
  <c r="M196" i="3"/>
  <c r="I195" i="3"/>
  <c r="N196" i="3"/>
  <c r="O196" i="3"/>
  <c r="M204" i="3"/>
  <c r="N204" i="3"/>
  <c r="M205" i="3"/>
  <c r="N205" i="3"/>
  <c r="M210" i="3"/>
  <c r="K210" i="3"/>
  <c r="N210" i="3"/>
  <c r="O210" i="3"/>
  <c r="M211" i="3"/>
  <c r="I210" i="3"/>
  <c r="N211" i="3"/>
  <c r="O211" i="3"/>
  <c r="N217" i="3"/>
  <c r="O217" i="3"/>
  <c r="N218" i="3"/>
  <c r="O218" i="3"/>
  <c r="M226" i="3"/>
  <c r="N226" i="3"/>
  <c r="M227" i="3"/>
  <c r="N227" i="3"/>
  <c r="M232" i="3"/>
  <c r="H232" i="3"/>
  <c r="N232" i="3"/>
  <c r="K232" i="3"/>
  <c r="O232" i="3"/>
  <c r="M233" i="3"/>
  <c r="I232" i="3"/>
  <c r="N233" i="3"/>
  <c r="O233" i="3"/>
  <c r="N239" i="3"/>
  <c r="O239" i="3"/>
  <c r="N240" i="3"/>
  <c r="O240" i="3"/>
  <c r="J210" i="3"/>
  <c r="H210" i="3"/>
  <c r="J195" i="3"/>
  <c r="H195" i="3"/>
  <c r="J177" i="3"/>
  <c r="H177" i="3"/>
  <c r="K88" i="3"/>
  <c r="J53" i="3"/>
  <c r="J45" i="4"/>
  <c r="J120" i="4"/>
  <c r="F54" i="18"/>
  <c r="E100" i="20"/>
  <c r="G109" i="20"/>
  <c r="E79" i="17"/>
  <c r="E94" i="17"/>
  <c r="J232" i="3"/>
  <c r="J186" i="3"/>
  <c r="E60" i="17"/>
  <c r="O129" i="6"/>
  <c r="Q129" i="6"/>
  <c r="E130" i="6"/>
  <c r="M129" i="6"/>
  <c r="P129" i="6"/>
  <c r="C130" i="6"/>
  <c r="K100" i="3"/>
  <c r="J93" i="3"/>
  <c r="K86" i="3"/>
  <c r="J88" i="3"/>
  <c r="I51" i="3"/>
  <c r="I50" i="3"/>
  <c r="I43" i="4"/>
  <c r="I42" i="4"/>
  <c r="I45" i="4"/>
  <c r="I120" i="4"/>
  <c r="J16" i="12"/>
  <c r="K15" i="12"/>
  <c r="H18" i="12"/>
  <c r="I52" i="13"/>
  <c r="I51" i="13"/>
  <c r="I54" i="13"/>
  <c r="J21" i="13"/>
  <c r="K20" i="13"/>
  <c r="H23" i="13"/>
  <c r="I20" i="13"/>
  <c r="I23" i="13"/>
  <c r="L44" i="15"/>
  <c r="L48" i="15"/>
  <c r="M45" i="15"/>
  <c r="M28" i="15"/>
  <c r="J32" i="15"/>
  <c r="P38" i="18"/>
  <c r="P37" i="18"/>
  <c r="O37" i="18"/>
  <c r="P28" i="18"/>
  <c r="P29" i="18"/>
  <c r="O28" i="18"/>
  <c r="J85" i="16"/>
  <c r="O61" i="16"/>
  <c r="O62" i="16"/>
  <c r="P61" i="16"/>
  <c r="K61" i="16"/>
  <c r="P26" i="16"/>
  <c r="P27" i="16"/>
  <c r="O26" i="16"/>
  <c r="D73" i="20"/>
  <c r="F73" i="20"/>
  <c r="F86" i="20"/>
  <c r="L29" i="20"/>
  <c r="M30" i="20"/>
  <c r="F109" i="20"/>
  <c r="H101" i="17"/>
  <c r="H100" i="17"/>
  <c r="D78" i="17"/>
  <c r="H73" i="17"/>
  <c r="H72" i="17"/>
  <c r="L23" i="17"/>
  <c r="D66" i="17"/>
  <c r="M24" i="17"/>
  <c r="I119" i="10"/>
  <c r="K113" i="10"/>
  <c r="J114" i="10"/>
  <c r="H113" i="10"/>
  <c r="K97" i="10"/>
  <c r="H97" i="10"/>
  <c r="I91" i="10"/>
  <c r="I92" i="10"/>
  <c r="I75" i="10"/>
  <c r="J19" i="10"/>
  <c r="K18" i="10"/>
  <c r="H21" i="10"/>
  <c r="D76" i="11"/>
  <c r="D138" i="11"/>
  <c r="D77" i="11"/>
  <c r="O137" i="11"/>
  <c r="J100" i="3"/>
  <c r="J86" i="3"/>
  <c r="H88" i="3"/>
  <c r="O48" i="15"/>
  <c r="I49" i="15"/>
  <c r="L49" i="15"/>
  <c r="J14" i="8"/>
  <c r="K13" i="8"/>
  <c r="I15" i="8"/>
  <c r="E44" i="18"/>
  <c r="F51" i="18"/>
  <c r="D54" i="18"/>
  <c r="H54" i="18"/>
  <c r="L76" i="16"/>
  <c r="M77" i="16"/>
  <c r="N76" i="16"/>
  <c r="M61" i="16"/>
  <c r="D77" i="20"/>
  <c r="D78" i="20"/>
  <c r="F77" i="20"/>
  <c r="F78" i="20"/>
  <c r="Q25" i="20"/>
  <c r="E104" i="20"/>
  <c r="Q26" i="20"/>
  <c r="R25" i="20"/>
  <c r="J62" i="17"/>
  <c r="G62" i="17"/>
  <c r="H87" i="17"/>
  <c r="H88" i="17"/>
  <c r="J59" i="17"/>
  <c r="G59" i="17"/>
  <c r="H67" i="17"/>
  <c r="H68" i="17"/>
  <c r="Q19" i="17"/>
  <c r="F68" i="17"/>
  <c r="Q20" i="17"/>
  <c r="R19" i="17"/>
  <c r="G60" i="17"/>
  <c r="P33" i="6"/>
  <c r="O32" i="6"/>
  <c r="Q41" i="6"/>
  <c r="K119" i="10"/>
  <c r="H119" i="10"/>
  <c r="K91" i="10"/>
  <c r="J92" i="10"/>
  <c r="H91" i="10"/>
  <c r="K75" i="10"/>
  <c r="H75" i="10"/>
  <c r="J53" i="10"/>
  <c r="M100" i="11"/>
  <c r="N99" i="11"/>
  <c r="K104" i="11"/>
  <c r="L99" i="11"/>
  <c r="I104" i="11"/>
  <c r="P75" i="11"/>
  <c r="P138" i="11"/>
  <c r="P74" i="11"/>
  <c r="P137" i="11"/>
  <c r="O75" i="11"/>
  <c r="Q28" i="11"/>
  <c r="R27" i="11"/>
  <c r="O36" i="11"/>
  <c r="D38" i="11"/>
  <c r="D80" i="1"/>
  <c r="E80" i="1"/>
  <c r="G80" i="1"/>
  <c r="E43" i="1"/>
  <c r="E162" i="1"/>
  <c r="R34" i="1"/>
  <c r="S33" i="1"/>
  <c r="P40" i="1"/>
  <c r="D42" i="1"/>
  <c r="R33" i="1"/>
  <c r="S40" i="1"/>
  <c r="G42" i="1"/>
  <c r="P39" i="19"/>
  <c r="P38" i="19"/>
  <c r="O38" i="19"/>
  <c r="P33" i="21"/>
  <c r="E93" i="21"/>
  <c r="P30" i="19"/>
  <c r="P29" i="19"/>
  <c r="Q33" i="21"/>
  <c r="D93" i="21"/>
  <c r="L28" i="21"/>
  <c r="D66" i="21"/>
  <c r="M29" i="21"/>
  <c r="E81" i="7"/>
  <c r="O80" i="7"/>
  <c r="G83" i="7"/>
  <c r="Q80" i="7"/>
  <c r="E82" i="7"/>
  <c r="L58" i="21"/>
  <c r="M59" i="21"/>
  <c r="N58" i="21"/>
  <c r="Q31" i="21"/>
  <c r="R30" i="21"/>
  <c r="P80" i="7"/>
  <c r="E83" i="7"/>
  <c r="E96" i="7"/>
  <c r="M76" i="7"/>
  <c r="N75" i="7"/>
  <c r="M55" i="7"/>
  <c r="N54" i="7"/>
  <c r="G56" i="19"/>
  <c r="E68" i="21"/>
  <c r="E97" i="21"/>
  <c r="I53" i="3"/>
  <c r="F43" i="1"/>
  <c r="D44" i="1"/>
  <c r="I131" i="1"/>
  <c r="C153" i="1"/>
  <c r="G162" i="1"/>
  <c r="G39" i="11"/>
  <c r="D121" i="11"/>
  <c r="D137" i="11"/>
  <c r="N118" i="11"/>
  <c r="C128" i="11"/>
  <c r="K118" i="11"/>
  <c r="Q33" i="6"/>
  <c r="R32" i="6"/>
  <c r="O41" i="6"/>
  <c r="G79" i="17"/>
  <c r="G94" i="17"/>
  <c r="M75" i="7"/>
  <c r="Q30" i="21"/>
  <c r="D69" i="21"/>
  <c r="M58" i="21"/>
  <c r="F56" i="19"/>
  <c r="I42" i="1"/>
  <c r="G43" i="1"/>
  <c r="H42" i="1"/>
  <c r="J42" i="1"/>
  <c r="M78" i="1"/>
  <c r="D162" i="1"/>
  <c r="H80" i="1"/>
  <c r="R80" i="1"/>
  <c r="Q27" i="11"/>
  <c r="R36" i="11"/>
  <c r="G38" i="11"/>
  <c r="E76" i="11"/>
  <c r="E138" i="11"/>
  <c r="E162" i="11"/>
  <c r="E186" i="11"/>
  <c r="E210" i="11"/>
  <c r="E234" i="11"/>
  <c r="E258" i="11"/>
  <c r="E282" i="11"/>
  <c r="E306" i="11"/>
  <c r="E330" i="11"/>
  <c r="E354" i="11"/>
  <c r="E378" i="11"/>
  <c r="E77" i="11"/>
  <c r="O138" i="11"/>
  <c r="P162" i="11"/>
  <c r="M118" i="11"/>
  <c r="O118" i="11"/>
  <c r="E128" i="11"/>
  <c r="I94" i="10"/>
  <c r="K92" i="10"/>
  <c r="H94" i="10"/>
  <c r="J94" i="10"/>
  <c r="H120" i="10"/>
  <c r="J120" i="10"/>
  <c r="H121" i="10"/>
  <c r="K120" i="10"/>
  <c r="J121" i="10"/>
  <c r="I120" i="10"/>
  <c r="I121" i="10"/>
  <c r="P32" i="6"/>
  <c r="P41" i="6"/>
  <c r="D61" i="17"/>
  <c r="G78" i="17"/>
  <c r="E93" i="17"/>
  <c r="G100" i="20"/>
  <c r="E109" i="20"/>
  <c r="E105" i="20"/>
  <c r="J13" i="8"/>
  <c r="H15" i="8"/>
  <c r="B15" i="8"/>
  <c r="O161" i="11"/>
  <c r="O185" i="11"/>
  <c r="O209" i="11"/>
  <c r="O233" i="11"/>
  <c r="O257" i="11"/>
  <c r="O281" i="11"/>
  <c r="O305" i="11"/>
  <c r="O329" i="11"/>
  <c r="O353" i="11"/>
  <c r="O377" i="11"/>
  <c r="D122" i="11"/>
  <c r="D142" i="11"/>
  <c r="M99" i="11"/>
  <c r="J104" i="11"/>
  <c r="J18" i="10"/>
  <c r="K21" i="10"/>
  <c r="E68" i="17"/>
  <c r="N23" i="17"/>
  <c r="F66" i="17"/>
  <c r="M23" i="17"/>
  <c r="E66" i="17"/>
  <c r="F105" i="20"/>
  <c r="I73" i="20"/>
  <c r="E81" i="20"/>
  <c r="E82" i="20"/>
  <c r="D86" i="20"/>
  <c r="N73" i="20"/>
  <c r="D81" i="20"/>
  <c r="F81" i="20"/>
  <c r="F82" i="20"/>
  <c r="Q27" i="16"/>
  <c r="R26" i="16"/>
  <c r="J61" i="16"/>
  <c r="E64" i="16"/>
  <c r="E63" i="16"/>
  <c r="Q28" i="18"/>
  <c r="Q29" i="18"/>
  <c r="R28" i="18"/>
  <c r="N44" i="15"/>
  <c r="M44" i="15"/>
  <c r="J51" i="13"/>
  <c r="K54" i="13"/>
  <c r="J52" i="13"/>
  <c r="K51" i="13"/>
  <c r="H54" i="13"/>
  <c r="J15" i="12"/>
  <c r="K18" i="12"/>
  <c r="L18" i="12"/>
  <c r="Q18" i="12"/>
  <c r="J43" i="4"/>
  <c r="K42" i="4"/>
  <c r="E78" i="17"/>
  <c r="G93" i="17"/>
  <c r="J20" i="13"/>
  <c r="K23" i="13"/>
  <c r="M120" i="4"/>
  <c r="H90" i="3"/>
  <c r="H87" i="3"/>
  <c r="I87" i="3"/>
  <c r="I94" i="3"/>
  <c r="M54" i="7"/>
  <c r="N96" i="7"/>
  <c r="N97" i="7"/>
  <c r="O33" i="21"/>
  <c r="G93" i="21"/>
  <c r="E103" i="7"/>
  <c r="E89" i="7"/>
  <c r="N28" i="21"/>
  <c r="F66" i="21"/>
  <c r="M28" i="21"/>
  <c r="Q30" i="19"/>
  <c r="R29" i="19"/>
  <c r="Q39" i="19"/>
  <c r="R38" i="19"/>
  <c r="G57" i="19"/>
  <c r="F80" i="1"/>
  <c r="P80" i="1"/>
  <c r="D83" i="1"/>
  <c r="D163" i="1"/>
  <c r="P81" i="1"/>
  <c r="E83" i="1"/>
  <c r="E163" i="1"/>
  <c r="P161" i="11"/>
  <c r="D68" i="17"/>
  <c r="F60" i="17"/>
  <c r="F67" i="17"/>
  <c r="F69" i="17"/>
  <c r="D109" i="20"/>
  <c r="F104" i="20"/>
  <c r="F100" i="20"/>
  <c r="H78" i="20"/>
  <c r="D82" i="20"/>
  <c r="M84" i="18"/>
  <c r="M87" i="18"/>
  <c r="D162" i="11"/>
  <c r="L21" i="10"/>
  <c r="Q21" i="10"/>
  <c r="N21" i="10"/>
  <c r="M21" i="10"/>
  <c r="H98" i="10"/>
  <c r="J98" i="10"/>
  <c r="H99" i="10"/>
  <c r="I98" i="10"/>
  <c r="I99" i="10"/>
  <c r="K98" i="10"/>
  <c r="J99" i="10"/>
  <c r="I116" i="10"/>
  <c r="J116" i="10"/>
  <c r="K114" i="10"/>
  <c r="H116" i="10"/>
  <c r="M116" i="10"/>
  <c r="E67" i="17"/>
  <c r="E69" i="17"/>
  <c r="D98" i="17"/>
  <c r="D83" i="17"/>
  <c r="D105" i="20"/>
  <c r="N29" i="20"/>
  <c r="M29" i="20"/>
  <c r="E87" i="20"/>
  <c r="E99" i="20"/>
  <c r="D87" i="20"/>
  <c r="D63" i="16"/>
  <c r="D64" i="16"/>
  <c r="F45" i="18"/>
  <c r="F46" i="18"/>
  <c r="D71" i="18"/>
  <c r="E45" i="18"/>
  <c r="E71" i="18"/>
  <c r="Q38" i="18"/>
  <c r="R37" i="18"/>
  <c r="G48" i="18"/>
  <c r="M48" i="15"/>
  <c r="M49" i="15"/>
  <c r="M23" i="13"/>
  <c r="L23" i="13"/>
  <c r="Q23" i="13"/>
  <c r="N23" i="13"/>
  <c r="M18" i="12"/>
  <c r="N18" i="12"/>
  <c r="N120" i="4"/>
  <c r="J51" i="3"/>
  <c r="K50" i="3"/>
  <c r="C132" i="6"/>
  <c r="D67" i="17"/>
  <c r="D69" i="17"/>
  <c r="D70" i="17"/>
  <c r="D104" i="20"/>
  <c r="M76" i="16"/>
  <c r="J90" i="3"/>
  <c r="J87" i="3"/>
  <c r="I90" i="3"/>
  <c r="K87" i="3"/>
  <c r="E21" i="12"/>
  <c r="D36" i="12"/>
  <c r="E40" i="12"/>
  <c r="K90" i="3"/>
  <c r="L90" i="3"/>
  <c r="H53" i="3"/>
  <c r="O18" i="12"/>
  <c r="P18" i="12"/>
  <c r="E26" i="13"/>
  <c r="D41" i="13"/>
  <c r="E76" i="13"/>
  <c r="D99" i="20"/>
  <c r="P21" i="10"/>
  <c r="O21" i="10"/>
  <c r="D39" i="10"/>
  <c r="E83" i="10"/>
  <c r="E105" i="10"/>
  <c r="E127" i="10"/>
  <c r="E24" i="10"/>
  <c r="E61" i="10"/>
  <c r="E167" i="1"/>
  <c r="E195" i="1"/>
  <c r="E171" i="1"/>
  <c r="E176" i="1"/>
  <c r="D164" i="1"/>
  <c r="F164" i="1"/>
  <c r="D171" i="1"/>
  <c r="D195" i="1"/>
  <c r="E164" i="1"/>
  <c r="D167" i="1"/>
  <c r="G164" i="1"/>
  <c r="I56" i="19"/>
  <c r="I57" i="19"/>
  <c r="F69" i="21"/>
  <c r="A104" i="7"/>
  <c r="M102" i="7"/>
  <c r="M103" i="7"/>
  <c r="I102" i="7"/>
  <c r="K96" i="7"/>
  <c r="J97" i="7"/>
  <c r="I96" i="7"/>
  <c r="I97" i="7"/>
  <c r="H96" i="7"/>
  <c r="I95" i="3"/>
  <c r="M90" i="3"/>
  <c r="H45" i="4"/>
  <c r="N49" i="15"/>
  <c r="I48" i="15"/>
  <c r="P48" i="15"/>
  <c r="J49" i="15"/>
  <c r="N48" i="15"/>
  <c r="F71" i="18"/>
  <c r="H48" i="18"/>
  <c r="E83" i="17"/>
  <c r="E70" i="17"/>
  <c r="E98" i="17"/>
  <c r="L118" i="11"/>
  <c r="P186" i="11"/>
  <c r="O162" i="11"/>
  <c r="O186" i="11"/>
  <c r="O210" i="11"/>
  <c r="O234" i="11"/>
  <c r="O258" i="11"/>
  <c r="O282" i="11"/>
  <c r="O306" i="11"/>
  <c r="O330" i="11"/>
  <c r="O354" i="11"/>
  <c r="O378" i="11"/>
  <c r="E122" i="11"/>
  <c r="F123" i="11"/>
  <c r="E142" i="11"/>
  <c r="E166" i="11"/>
  <c r="E190" i="11"/>
  <c r="E214" i="11"/>
  <c r="E238" i="11"/>
  <c r="E262" i="11"/>
  <c r="E286" i="11"/>
  <c r="E310" i="11"/>
  <c r="E334" i="11"/>
  <c r="E358" i="11"/>
  <c r="E382" i="11"/>
  <c r="F39" i="11"/>
  <c r="D40" i="11"/>
  <c r="C131" i="11"/>
  <c r="G121" i="11"/>
  <c r="G123" i="11"/>
  <c r="G137" i="11"/>
  <c r="E139" i="11"/>
  <c r="J38" i="11"/>
  <c r="K94" i="3"/>
  <c r="J94" i="3"/>
  <c r="J50" i="3"/>
  <c r="O23" i="13"/>
  <c r="P23" i="13"/>
  <c r="Q37" i="18"/>
  <c r="F48" i="18"/>
  <c r="E46" i="18"/>
  <c r="D46" i="18"/>
  <c r="I45" i="18"/>
  <c r="D45" i="18"/>
  <c r="I44" i="18"/>
  <c r="K116" i="10"/>
  <c r="L116" i="10"/>
  <c r="K99" i="10"/>
  <c r="I101" i="10"/>
  <c r="J101" i="10"/>
  <c r="H101" i="10"/>
  <c r="M101" i="10"/>
  <c r="D186" i="11"/>
  <c r="I109" i="20"/>
  <c r="I120" i="20"/>
  <c r="N109" i="20"/>
  <c r="D93" i="17"/>
  <c r="F78" i="17"/>
  <c r="G80" i="17"/>
  <c r="E81" i="17"/>
  <c r="E61" i="17"/>
  <c r="P185" i="11"/>
  <c r="R81" i="1"/>
  <c r="Q80" i="1"/>
  <c r="O194" i="1"/>
  <c r="Q81" i="1"/>
  <c r="O195" i="1"/>
  <c r="Q38" i="19"/>
  <c r="Q29" i="19"/>
  <c r="E73" i="21"/>
  <c r="E74" i="21"/>
  <c r="E66" i="21"/>
  <c r="M88" i="7"/>
  <c r="M89" i="7"/>
  <c r="J96" i="7"/>
  <c r="H97" i="7"/>
  <c r="H94" i="3"/>
  <c r="G61" i="17"/>
  <c r="F61" i="17"/>
  <c r="E63" i="17"/>
  <c r="G64" i="17"/>
  <c r="J42" i="4"/>
  <c r="L54" i="13"/>
  <c r="Q54" i="13"/>
  <c r="N54" i="13"/>
  <c r="M54" i="13"/>
  <c r="I48" i="18"/>
  <c r="G71" i="18"/>
  <c r="Q26" i="16"/>
  <c r="G87" i="20"/>
  <c r="G99" i="20"/>
  <c r="F101" i="20"/>
  <c r="E89" i="20"/>
  <c r="E90" i="20"/>
  <c r="F89" i="20"/>
  <c r="D90" i="20"/>
  <c r="D89" i="20"/>
  <c r="F90" i="20"/>
  <c r="F87" i="20"/>
  <c r="F99" i="20"/>
  <c r="E101" i="20"/>
  <c r="I78" i="17"/>
  <c r="F70" i="17"/>
  <c r="F98" i="17"/>
  <c r="H98" i="17"/>
  <c r="F83" i="17"/>
  <c r="D166" i="11"/>
  <c r="D80" i="17"/>
  <c r="F81" i="17"/>
  <c r="K121" i="10"/>
  <c r="I123" i="10"/>
  <c r="H123" i="10"/>
  <c r="M123" i="10"/>
  <c r="J123" i="10"/>
  <c r="M94" i="10"/>
  <c r="K94" i="10"/>
  <c r="L94" i="10"/>
  <c r="D81" i="1"/>
  <c r="M42" i="1"/>
  <c r="K78" i="1"/>
  <c r="K42" i="1"/>
  <c r="L42" i="1"/>
  <c r="E132" i="1"/>
  <c r="L78" i="1"/>
  <c r="L84" i="1"/>
  <c r="L131" i="1"/>
  <c r="O131" i="1"/>
  <c r="F93" i="21"/>
  <c r="F67" i="21"/>
  <c r="F96" i="21"/>
  <c r="D68" i="21"/>
  <c r="D97" i="21"/>
  <c r="R33" i="21"/>
  <c r="U33" i="21"/>
  <c r="D67" i="21"/>
  <c r="E67" i="21"/>
  <c r="E96" i="21"/>
  <c r="F68" i="21"/>
  <c r="F97" i="21"/>
  <c r="Q32" i="6"/>
  <c r="R41" i="6"/>
  <c r="C130" i="11"/>
  <c r="I38" i="11"/>
  <c r="H38" i="11"/>
  <c r="M38" i="11"/>
  <c r="G141" i="11"/>
  <c r="F124" i="11"/>
  <c r="E140" i="11"/>
  <c r="E161" i="11"/>
  <c r="D124" i="11"/>
  <c r="F141" i="11"/>
  <c r="E139" i="1"/>
  <c r="E143" i="1"/>
  <c r="D96" i="21"/>
  <c r="O134" i="1"/>
  <c r="O133" i="1"/>
  <c r="N78" i="1"/>
  <c r="M82" i="1"/>
  <c r="M84" i="1"/>
  <c r="M131" i="1"/>
  <c r="L80" i="1"/>
  <c r="L86" i="1"/>
  <c r="L163" i="1"/>
  <c r="L194" i="1"/>
  <c r="L195" i="1"/>
  <c r="L226" i="1"/>
  <c r="L227" i="1"/>
  <c r="L258" i="1"/>
  <c r="L259" i="1"/>
  <c r="L290" i="1"/>
  <c r="L291" i="1"/>
  <c r="L322" i="1"/>
  <c r="L323" i="1"/>
  <c r="L354" i="1"/>
  <c r="L355" i="1"/>
  <c r="L386" i="1"/>
  <c r="L387" i="1"/>
  <c r="L418" i="1"/>
  <c r="L419" i="1"/>
  <c r="L450" i="1"/>
  <c r="L451" i="1"/>
  <c r="L482" i="1"/>
  <c r="L483" i="1"/>
  <c r="K80" i="1"/>
  <c r="M80" i="1"/>
  <c r="K123" i="10"/>
  <c r="L123" i="10"/>
  <c r="D91" i="20"/>
  <c r="D92" i="20"/>
  <c r="F91" i="20"/>
  <c r="F92" i="20"/>
  <c r="E91" i="20"/>
  <c r="E92" i="20"/>
  <c r="E93" i="16"/>
  <c r="E84" i="16"/>
  <c r="E85" i="16"/>
  <c r="F84" i="16"/>
  <c r="G84" i="16"/>
  <c r="G87" i="16"/>
  <c r="G85" i="16"/>
  <c r="F85" i="16"/>
  <c r="K45" i="4"/>
  <c r="K120" i="4"/>
  <c r="Q121" i="4"/>
  <c r="Q143" i="4"/>
  <c r="Q123" i="4"/>
  <c r="Q133" i="4"/>
  <c r="Q132" i="4"/>
  <c r="Q141" i="4"/>
  <c r="Q142" i="4"/>
  <c r="D63" i="17"/>
  <c r="F64" i="17"/>
  <c r="I88" i="7"/>
  <c r="I89" i="7"/>
  <c r="E69" i="21"/>
  <c r="I69" i="21"/>
  <c r="F46" i="19"/>
  <c r="H57" i="19"/>
  <c r="D47" i="19"/>
  <c r="H56" i="19"/>
  <c r="M56" i="19"/>
  <c r="F47" i="19"/>
  <c r="D46" i="19"/>
  <c r="D52" i="19"/>
  <c r="E46" i="19"/>
  <c r="O227" i="1"/>
  <c r="M86" i="1"/>
  <c r="M163" i="1"/>
  <c r="M194" i="1"/>
  <c r="F63" i="17"/>
  <c r="D64" i="17"/>
  <c r="I93" i="17"/>
  <c r="N93" i="17"/>
  <c r="G95" i="17"/>
  <c r="E96" i="17"/>
  <c r="D210" i="11"/>
  <c r="C103" i="18"/>
  <c r="E32" i="13"/>
  <c r="D40" i="13"/>
  <c r="K53" i="3"/>
  <c r="L53" i="3"/>
  <c r="Q53" i="3"/>
  <c r="Q56" i="3"/>
  <c r="S64" i="3"/>
  <c r="T56" i="3"/>
  <c r="S56" i="3"/>
  <c r="U56" i="3"/>
  <c r="R64" i="3"/>
  <c r="Q64" i="3"/>
  <c r="J95" i="3"/>
  <c r="K101" i="3"/>
  <c r="K82" i="1"/>
  <c r="N82" i="1"/>
  <c r="P210" i="11"/>
  <c r="G63" i="17"/>
  <c r="E64" i="17"/>
  <c r="F95" i="17"/>
  <c r="D96" i="17"/>
  <c r="D123" i="11"/>
  <c r="E123" i="11"/>
  <c r="N78" i="17"/>
  <c r="E84" i="17"/>
  <c r="Q122" i="4"/>
  <c r="E95" i="17"/>
  <c r="G96" i="17"/>
  <c r="T33" i="21"/>
  <c r="S33" i="21"/>
  <c r="X33" i="21"/>
  <c r="I73" i="21"/>
  <c r="K73" i="21"/>
  <c r="K102" i="7"/>
  <c r="H102" i="7"/>
  <c r="J102" i="7"/>
  <c r="E47" i="19"/>
  <c r="D199" i="1"/>
  <c r="D203" i="1"/>
  <c r="D227" i="1"/>
  <c r="D165" i="1"/>
  <c r="F194" i="1"/>
  <c r="F196" i="1"/>
  <c r="M23" i="10"/>
  <c r="M24" i="10"/>
  <c r="I23" i="10"/>
  <c r="M104" i="10"/>
  <c r="M105" i="10"/>
  <c r="I104" i="10"/>
  <c r="E30" i="10"/>
  <c r="D38" i="10"/>
  <c r="G101" i="20"/>
  <c r="F95" i="20"/>
  <c r="N87" i="20"/>
  <c r="M75" i="13"/>
  <c r="M76" i="13"/>
  <c r="E27" i="12"/>
  <c r="D35" i="12"/>
  <c r="V56" i="3"/>
  <c r="N53" i="3"/>
  <c r="L38" i="11"/>
  <c r="K38" i="11"/>
  <c r="D190" i="11"/>
  <c r="D101" i="20"/>
  <c r="P54" i="13"/>
  <c r="O54" i="13"/>
  <c r="D72" i="13"/>
  <c r="E57" i="13"/>
  <c r="H97" i="3"/>
  <c r="M97" i="3"/>
  <c r="J97" i="3"/>
  <c r="K95" i="3"/>
  <c r="I97" i="3"/>
  <c r="H101" i="3"/>
  <c r="H88" i="7"/>
  <c r="J88" i="7"/>
  <c r="H89" i="7"/>
  <c r="K88" i="7"/>
  <c r="J89" i="7"/>
  <c r="F57" i="19"/>
  <c r="M57" i="19"/>
  <c r="F48" i="19"/>
  <c r="E48" i="19"/>
  <c r="F49" i="19"/>
  <c r="D48" i="19"/>
  <c r="D54" i="19"/>
  <c r="D49" i="19"/>
  <c r="D53" i="19"/>
  <c r="O226" i="1"/>
  <c r="P209" i="11"/>
  <c r="E80" i="17"/>
  <c r="G81" i="17"/>
  <c r="D84" i="17"/>
  <c r="D85" i="17"/>
  <c r="K101" i="10"/>
  <c r="L101" i="10"/>
  <c r="D56" i="18"/>
  <c r="F56" i="18"/>
  <c r="K44" i="18"/>
  <c r="F52" i="18"/>
  <c r="B80" i="18"/>
  <c r="F50" i="18"/>
  <c r="H95" i="3"/>
  <c r="J101" i="3"/>
  <c r="E49" i="19"/>
  <c r="F139" i="11"/>
  <c r="G139" i="11"/>
  <c r="D139" i="11"/>
  <c r="N61" i="17"/>
  <c r="I61" i="17"/>
  <c r="E85" i="17"/>
  <c r="F84" i="17"/>
  <c r="F85" i="17"/>
  <c r="Q134" i="4"/>
  <c r="L45" i="4"/>
  <c r="N45" i="4"/>
  <c r="K122" i="4"/>
  <c r="K124" i="4"/>
  <c r="O122" i="4"/>
  <c r="H120" i="4"/>
  <c r="M45" i="4"/>
  <c r="F80" i="17"/>
  <c r="D81" i="17"/>
  <c r="D95" i="17"/>
  <c r="F96" i="17"/>
  <c r="I101" i="3"/>
  <c r="I99" i="7"/>
  <c r="J99" i="7"/>
  <c r="K97" i="7"/>
  <c r="H99" i="7"/>
  <c r="M99" i="7"/>
  <c r="F165" i="1"/>
  <c r="G194" i="1"/>
  <c r="G196" i="1"/>
  <c r="E194" i="1"/>
  <c r="E165" i="1"/>
  <c r="D176" i="1"/>
  <c r="G165" i="1"/>
  <c r="D194" i="1"/>
  <c r="E196" i="1"/>
  <c r="E199" i="1"/>
  <c r="E203" i="1"/>
  <c r="E208" i="1"/>
  <c r="E227" i="1"/>
  <c r="M60" i="10"/>
  <c r="M61" i="10"/>
  <c r="I60" i="10"/>
  <c r="M127" i="10"/>
  <c r="M126" i="10"/>
  <c r="M83" i="10"/>
  <c r="M82" i="10"/>
  <c r="E95" i="20"/>
  <c r="I87" i="20"/>
  <c r="D95" i="20"/>
  <c r="M25" i="13"/>
  <c r="M26" i="13"/>
  <c r="R56" i="3"/>
  <c r="M39" i="12"/>
  <c r="M40" i="12"/>
  <c r="I39" i="12"/>
  <c r="I40" i="12"/>
  <c r="M20" i="12"/>
  <c r="M21" i="12"/>
  <c r="I20" i="12"/>
  <c r="H70" i="17"/>
  <c r="F197" i="1"/>
  <c r="G226" i="1"/>
  <c r="E197" i="1"/>
  <c r="E226" i="1"/>
  <c r="F226" i="1"/>
  <c r="D197" i="1"/>
  <c r="E56" i="3"/>
  <c r="D71" i="3"/>
  <c r="R61" i="3"/>
  <c r="R60" i="3"/>
  <c r="K25" i="13"/>
  <c r="H25" i="13"/>
  <c r="J25" i="13"/>
  <c r="F161" i="11"/>
  <c r="D140" i="11"/>
  <c r="M109" i="3"/>
  <c r="H102" i="3"/>
  <c r="J187" i="3"/>
  <c r="H188" i="3"/>
  <c r="J178" i="3"/>
  <c r="H179" i="3"/>
  <c r="J196" i="3"/>
  <c r="H197" i="3"/>
  <c r="H85" i="17"/>
  <c r="P233" i="11"/>
  <c r="O258" i="1"/>
  <c r="K102" i="3"/>
  <c r="I104" i="3"/>
  <c r="K109" i="3"/>
  <c r="H104" i="3"/>
  <c r="J104" i="3"/>
  <c r="H187" i="3"/>
  <c r="H178" i="3"/>
  <c r="H196" i="3"/>
  <c r="E63" i="13"/>
  <c r="D71" i="13"/>
  <c r="E75" i="13"/>
  <c r="N101" i="20"/>
  <c r="I101" i="20"/>
  <c r="C120" i="20"/>
  <c r="D214" i="11"/>
  <c r="N27" i="12"/>
  <c r="N28" i="12"/>
  <c r="D235" i="1"/>
  <c r="D259" i="1"/>
  <c r="D231" i="1"/>
  <c r="D196" i="1"/>
  <c r="W33" i="21"/>
  <c r="V33" i="21"/>
  <c r="G124" i="11"/>
  <c r="D141" i="11"/>
  <c r="R65" i="3"/>
  <c r="R66" i="3"/>
  <c r="R57" i="3"/>
  <c r="N32" i="13"/>
  <c r="N33" i="13"/>
  <c r="F59" i="19"/>
  <c r="G88" i="16"/>
  <c r="G89" i="16"/>
  <c r="F96" i="20"/>
  <c r="P131" i="1"/>
  <c r="R131" i="1"/>
  <c r="E151" i="1"/>
  <c r="I133" i="1"/>
  <c r="I134" i="1"/>
  <c r="H133" i="1"/>
  <c r="J133" i="1"/>
  <c r="H134" i="1"/>
  <c r="C70" i="21"/>
  <c r="M138" i="1"/>
  <c r="M139" i="1"/>
  <c r="K82" i="10"/>
  <c r="J82" i="10"/>
  <c r="H82" i="10"/>
  <c r="K126" i="10"/>
  <c r="J126" i="10"/>
  <c r="H126" i="10"/>
  <c r="E231" i="1"/>
  <c r="E235" i="1"/>
  <c r="E240" i="1"/>
  <c r="E259" i="1"/>
  <c r="I102" i="3"/>
  <c r="L109" i="3"/>
  <c r="I187" i="3"/>
  <c r="I188" i="3"/>
  <c r="I178" i="3"/>
  <c r="I179" i="3"/>
  <c r="I196" i="3"/>
  <c r="I197" i="3"/>
  <c r="N81" i="17"/>
  <c r="E87" i="17"/>
  <c r="E89" i="17"/>
  <c r="E90" i="17"/>
  <c r="E88" i="17"/>
  <c r="I81" i="17"/>
  <c r="D87" i="17"/>
  <c r="D88" i="17"/>
  <c r="F87" i="17"/>
  <c r="F88" i="17"/>
  <c r="P120" i="4"/>
  <c r="J122" i="4"/>
  <c r="J124" i="4"/>
  <c r="M122" i="4"/>
  <c r="Q45" i="4"/>
  <c r="G140" i="11"/>
  <c r="D161" i="11"/>
  <c r="D57" i="18"/>
  <c r="D63" i="18"/>
  <c r="D65" i="18"/>
  <c r="D64" i="18"/>
  <c r="K20" i="12"/>
  <c r="H20" i="12"/>
  <c r="J20" i="12"/>
  <c r="H39" i="12"/>
  <c r="K40" i="12"/>
  <c r="J39" i="12"/>
  <c r="H40" i="12"/>
  <c r="K39" i="12"/>
  <c r="J40" i="12"/>
  <c r="I25" i="13"/>
  <c r="I82" i="10"/>
  <c r="I126" i="10"/>
  <c r="H60" i="10"/>
  <c r="J60" i="10"/>
  <c r="K60" i="10"/>
  <c r="K99" i="7"/>
  <c r="L99" i="7"/>
  <c r="P45" i="4"/>
  <c r="O45" i="4"/>
  <c r="I122" i="4"/>
  <c r="I124" i="4"/>
  <c r="F140" i="11"/>
  <c r="N140" i="11"/>
  <c r="G161" i="11"/>
  <c r="G163" i="11"/>
  <c r="I91" i="7"/>
  <c r="K89" i="7"/>
  <c r="C93" i="7"/>
  <c r="H91" i="7"/>
  <c r="J91" i="7"/>
  <c r="L97" i="3"/>
  <c r="K97" i="3"/>
  <c r="M56" i="13"/>
  <c r="M57" i="13"/>
  <c r="I56" i="13"/>
  <c r="H76" i="11"/>
  <c r="J77" i="11"/>
  <c r="M77" i="11"/>
  <c r="H118" i="11"/>
  <c r="M53" i="3"/>
  <c r="N31" i="10"/>
  <c r="J30" i="10"/>
  <c r="N30" i="10"/>
  <c r="K104" i="10"/>
  <c r="H104" i="10"/>
  <c r="J104" i="10"/>
  <c r="H23" i="10"/>
  <c r="J23" i="10"/>
  <c r="K23" i="10"/>
  <c r="I165" i="1"/>
  <c r="C185" i="1"/>
  <c r="D208" i="1"/>
  <c r="I103" i="7"/>
  <c r="I104" i="7"/>
  <c r="K103" i="7"/>
  <c r="J104" i="7"/>
  <c r="J103" i="7"/>
  <c r="H104" i="7"/>
  <c r="H103" i="7"/>
  <c r="E124" i="11"/>
  <c r="N124" i="11"/>
  <c r="I131" i="11"/>
  <c r="E141" i="11"/>
  <c r="E143" i="11"/>
  <c r="I96" i="17"/>
  <c r="I111" i="17"/>
  <c r="C119" i="17"/>
  <c r="D100" i="17"/>
  <c r="F100" i="17"/>
  <c r="D101" i="17"/>
  <c r="F101" i="17"/>
  <c r="E100" i="17"/>
  <c r="E101" i="17"/>
  <c r="N96" i="17"/>
  <c r="P234" i="11"/>
  <c r="J102" i="3"/>
  <c r="N109" i="3"/>
  <c r="K187" i="3"/>
  <c r="J188" i="3"/>
  <c r="K178" i="3"/>
  <c r="J179" i="3"/>
  <c r="K196" i="3"/>
  <c r="J197" i="3"/>
  <c r="R58" i="3"/>
  <c r="I103" i="18"/>
  <c r="D234" i="11"/>
  <c r="I64" i="17"/>
  <c r="D72" i="17"/>
  <c r="F72" i="17"/>
  <c r="D73" i="17"/>
  <c r="F73" i="17"/>
  <c r="N64" i="17"/>
  <c r="E72" i="17"/>
  <c r="E73" i="17"/>
  <c r="O259" i="1"/>
  <c r="D50" i="19"/>
  <c r="F50" i="19"/>
  <c r="I51" i="19"/>
  <c r="I53" i="19"/>
  <c r="D51" i="19"/>
  <c r="O120" i="4"/>
  <c r="K125" i="4"/>
  <c r="F87" i="16"/>
  <c r="E87" i="16"/>
  <c r="E96" i="20"/>
  <c r="H92" i="20"/>
  <c r="D96" i="20"/>
  <c r="N80" i="1"/>
  <c r="K86" i="1"/>
  <c r="K84" i="1"/>
  <c r="K133" i="1"/>
  <c r="J134" i="1"/>
  <c r="M142" i="1"/>
  <c r="M143" i="1"/>
  <c r="I142" i="1"/>
  <c r="O174" i="1"/>
  <c r="O206" i="1"/>
  <c r="O238" i="1"/>
  <c r="O270" i="1"/>
  <c r="O302" i="1"/>
  <c r="O334" i="1"/>
  <c r="O366" i="1"/>
  <c r="O398" i="1"/>
  <c r="O430" i="1"/>
  <c r="O462" i="1"/>
  <c r="O494" i="1"/>
  <c r="G143" i="11"/>
  <c r="F62" i="19"/>
  <c r="V62" i="3"/>
  <c r="V61" i="3"/>
  <c r="F144" i="11"/>
  <c r="G165" i="11"/>
  <c r="N86" i="1"/>
  <c r="K163" i="1"/>
  <c r="M53" i="19"/>
  <c r="K53" i="19"/>
  <c r="O291" i="1"/>
  <c r="D74" i="17"/>
  <c r="D75" i="17"/>
  <c r="D258" i="11"/>
  <c r="T62" i="3"/>
  <c r="T61" i="3"/>
  <c r="P258" i="11"/>
  <c r="F102" i="17"/>
  <c r="F103" i="17"/>
  <c r="H142" i="1"/>
  <c r="J142" i="1"/>
  <c r="K142" i="1"/>
  <c r="N84" i="1"/>
  <c r="K131" i="1"/>
  <c r="E89" i="16"/>
  <c r="E88" i="16"/>
  <c r="J126" i="4"/>
  <c r="O131" i="4"/>
  <c r="I50" i="19"/>
  <c r="D92" i="19"/>
  <c r="D95" i="19"/>
  <c r="E74" i="17"/>
  <c r="E75" i="17"/>
  <c r="F74" i="17"/>
  <c r="F75" i="17"/>
  <c r="E102" i="17"/>
  <c r="E103" i="17"/>
  <c r="D102" i="17"/>
  <c r="D103" i="17"/>
  <c r="H103" i="17"/>
  <c r="D111" i="17"/>
  <c r="C118" i="17"/>
  <c r="E144" i="11"/>
  <c r="E165" i="11"/>
  <c r="K104" i="7"/>
  <c r="I106" i="7"/>
  <c r="H106" i="7"/>
  <c r="J106" i="7"/>
  <c r="H24" i="10"/>
  <c r="J24" i="10"/>
  <c r="H25" i="10"/>
  <c r="K24" i="10"/>
  <c r="J25" i="10"/>
  <c r="I24" i="10"/>
  <c r="I25" i="10"/>
  <c r="I105" i="10"/>
  <c r="I106" i="10"/>
  <c r="K105" i="10"/>
  <c r="J106" i="10"/>
  <c r="J105" i="10"/>
  <c r="H106" i="10"/>
  <c r="H105" i="10"/>
  <c r="K30" i="10"/>
  <c r="H30" i="10"/>
  <c r="I30" i="10"/>
  <c r="I129" i="11"/>
  <c r="C129" i="11"/>
  <c r="H146" i="11"/>
  <c r="H56" i="13"/>
  <c r="J56" i="13"/>
  <c r="K56" i="13"/>
  <c r="M91" i="7"/>
  <c r="K91" i="7"/>
  <c r="L91" i="7"/>
  <c r="F164" i="11"/>
  <c r="G185" i="11"/>
  <c r="N122" i="4"/>
  <c r="J125" i="4"/>
  <c r="I125" i="4"/>
  <c r="E68" i="4"/>
  <c r="E54" i="4"/>
  <c r="E89" i="4"/>
  <c r="D105" i="4"/>
  <c r="B41" i="12"/>
  <c r="H65" i="18"/>
  <c r="F68" i="18"/>
  <c r="D163" i="11"/>
  <c r="N123" i="4"/>
  <c r="P123" i="4"/>
  <c r="M123" i="4"/>
  <c r="O123" i="4"/>
  <c r="H125" i="4"/>
  <c r="F89" i="17"/>
  <c r="F90" i="17"/>
  <c r="D89" i="17"/>
  <c r="D90" i="17"/>
  <c r="H90" i="17"/>
  <c r="U109" i="3"/>
  <c r="T109" i="3"/>
  <c r="P109" i="3"/>
  <c r="E267" i="1"/>
  <c r="E272" i="1"/>
  <c r="E263" i="1"/>
  <c r="E291" i="1"/>
  <c r="E163" i="11"/>
  <c r="I138" i="1"/>
  <c r="D73" i="21"/>
  <c r="D74" i="21"/>
  <c r="F73" i="21"/>
  <c r="F74" i="21"/>
  <c r="B121" i="21"/>
  <c r="B124" i="21"/>
  <c r="B127" i="21"/>
  <c r="B130" i="21"/>
  <c r="I136" i="1"/>
  <c r="K134" i="1"/>
  <c r="H136" i="1"/>
  <c r="J136" i="1"/>
  <c r="J32" i="13"/>
  <c r="D240" i="1"/>
  <c r="J27" i="12"/>
  <c r="D238" i="11"/>
  <c r="N64" i="13"/>
  <c r="N63" i="13"/>
  <c r="K179" i="3"/>
  <c r="I181" i="3"/>
  <c r="H181" i="3"/>
  <c r="J181" i="3"/>
  <c r="S109" i="3"/>
  <c r="V109" i="3"/>
  <c r="Q109" i="3"/>
  <c r="O290" i="1"/>
  <c r="P257" i="11"/>
  <c r="C182" i="3"/>
  <c r="C105" i="3"/>
  <c r="I140" i="11"/>
  <c r="C155" i="11"/>
  <c r="U61" i="3"/>
  <c r="U62" i="3"/>
  <c r="M55" i="3"/>
  <c r="M56" i="3"/>
  <c r="I55" i="3"/>
  <c r="I148" i="1"/>
  <c r="K149" i="1"/>
  <c r="E175" i="1"/>
  <c r="H96" i="20"/>
  <c r="E106" i="20"/>
  <c r="E107" i="20"/>
  <c r="D106" i="20"/>
  <c r="D107" i="20"/>
  <c r="F106" i="20"/>
  <c r="F107" i="20"/>
  <c r="F89" i="16"/>
  <c r="F88" i="16"/>
  <c r="C108" i="7"/>
  <c r="P53" i="3"/>
  <c r="O53" i="3"/>
  <c r="L74" i="11"/>
  <c r="K74" i="11"/>
  <c r="M74" i="11"/>
  <c r="I21" i="12"/>
  <c r="I22" i="12"/>
  <c r="K21" i="12"/>
  <c r="J22" i="12"/>
  <c r="H21" i="12"/>
  <c r="J21" i="12"/>
  <c r="H22" i="12"/>
  <c r="F64" i="18"/>
  <c r="L64" i="18"/>
  <c r="H64" i="18"/>
  <c r="H61" i="18"/>
  <c r="F67" i="18"/>
  <c r="E97" i="4"/>
  <c r="D106" i="4"/>
  <c r="E48" i="4"/>
  <c r="E76" i="4"/>
  <c r="I127" i="10"/>
  <c r="I128" i="10"/>
  <c r="K127" i="10"/>
  <c r="J128" i="10"/>
  <c r="H127" i="10"/>
  <c r="J127" i="10"/>
  <c r="H128" i="10"/>
  <c r="F143" i="11"/>
  <c r="K138" i="1"/>
  <c r="H138" i="1"/>
  <c r="J138" i="1"/>
  <c r="P174" i="1"/>
  <c r="R174" i="1"/>
  <c r="E183" i="1"/>
  <c r="K32" i="13"/>
  <c r="H32" i="13"/>
  <c r="I32" i="13"/>
  <c r="D143" i="11"/>
  <c r="G197" i="1"/>
  <c r="I197" i="1"/>
  <c r="C217" i="1"/>
  <c r="D226" i="1"/>
  <c r="D263" i="1"/>
  <c r="D267" i="1"/>
  <c r="D291" i="1"/>
  <c r="K27" i="12"/>
  <c r="H27" i="12"/>
  <c r="I27" i="12"/>
  <c r="N75" i="13"/>
  <c r="N76" i="13"/>
  <c r="K197" i="3"/>
  <c r="C200" i="3"/>
  <c r="I199" i="3"/>
  <c r="H199" i="3"/>
  <c r="M199" i="3"/>
  <c r="J199" i="3"/>
  <c r="H190" i="3"/>
  <c r="M190" i="3"/>
  <c r="J190" i="3"/>
  <c r="K188" i="3"/>
  <c r="I190" i="3"/>
  <c r="M104" i="3"/>
  <c r="K104" i="3"/>
  <c r="L104" i="3"/>
  <c r="C191" i="3"/>
  <c r="R109" i="3"/>
  <c r="F163" i="11"/>
  <c r="I26" i="13"/>
  <c r="I27" i="13"/>
  <c r="K26" i="13"/>
  <c r="J27" i="13"/>
  <c r="H26" i="13"/>
  <c r="J26" i="13"/>
  <c r="H27" i="13"/>
  <c r="D164" i="11"/>
  <c r="F185" i="11"/>
  <c r="E121" i="3"/>
  <c r="E139" i="3"/>
  <c r="E161" i="3"/>
  <c r="D295" i="1"/>
  <c r="D299" i="1"/>
  <c r="D323" i="1"/>
  <c r="K140" i="1"/>
  <c r="D166" i="1"/>
  <c r="H130" i="10"/>
  <c r="M130" i="10"/>
  <c r="J130" i="10"/>
  <c r="K128" i="10"/>
  <c r="I130" i="10"/>
  <c r="M47" i="4"/>
  <c r="M48" i="4"/>
  <c r="M115" i="11"/>
  <c r="M137" i="11"/>
  <c r="L115" i="11"/>
  <c r="L116" i="11"/>
  <c r="L137" i="11"/>
  <c r="L138" i="11"/>
  <c r="E62" i="3"/>
  <c r="D70" i="3"/>
  <c r="O322" i="1"/>
  <c r="K181" i="3"/>
  <c r="L181" i="3"/>
  <c r="H63" i="13"/>
  <c r="K63" i="13"/>
  <c r="I63" i="13"/>
  <c r="D262" i="11"/>
  <c r="I74" i="21"/>
  <c r="I80" i="21"/>
  <c r="I79" i="21"/>
  <c r="I81" i="21"/>
  <c r="E185" i="11"/>
  <c r="E164" i="11"/>
  <c r="I128" i="4"/>
  <c r="K126" i="4"/>
  <c r="H128" i="4"/>
  <c r="J128" i="4"/>
  <c r="P131" i="4"/>
  <c r="N90" i="4"/>
  <c r="A91" i="4"/>
  <c r="N89" i="4"/>
  <c r="N68" i="4"/>
  <c r="N69" i="4"/>
  <c r="A70" i="4"/>
  <c r="H126" i="4"/>
  <c r="M131" i="4"/>
  <c r="C153" i="11"/>
  <c r="H170" i="11"/>
  <c r="I153" i="11"/>
  <c r="I31" i="10"/>
  <c r="K31" i="10"/>
  <c r="J32" i="10"/>
  <c r="H31" i="10"/>
  <c r="J31" i="10"/>
  <c r="H32" i="10"/>
  <c r="H108" i="10"/>
  <c r="M108" i="10"/>
  <c r="J108" i="10"/>
  <c r="I108" i="10"/>
  <c r="K106" i="10"/>
  <c r="K106" i="7"/>
  <c r="L106" i="7"/>
  <c r="E91" i="16"/>
  <c r="F175" i="1"/>
  <c r="H148" i="1"/>
  <c r="V66" i="3"/>
  <c r="S66" i="3"/>
  <c r="U66" i="3"/>
  <c r="D282" i="11"/>
  <c r="O323" i="1"/>
  <c r="F83" i="19"/>
  <c r="D71" i="19"/>
  <c r="D73" i="19"/>
  <c r="F86" i="19"/>
  <c r="K194" i="1"/>
  <c r="N163" i="1"/>
  <c r="E115" i="3"/>
  <c r="E147" i="3"/>
  <c r="E169" i="3"/>
  <c r="E218" i="3"/>
  <c r="E240" i="3"/>
  <c r="H28" i="12"/>
  <c r="J28" i="12"/>
  <c r="H29" i="12"/>
  <c r="I28" i="12"/>
  <c r="K28" i="12"/>
  <c r="J29" i="12"/>
  <c r="F165" i="11"/>
  <c r="D144" i="11"/>
  <c r="A98" i="4"/>
  <c r="M96" i="4"/>
  <c r="M97" i="4"/>
  <c r="J71" i="18"/>
  <c r="E70" i="18"/>
  <c r="J70" i="18"/>
  <c r="G70" i="18"/>
  <c r="H29" i="13"/>
  <c r="M29" i="13"/>
  <c r="J29" i="13"/>
  <c r="K27" i="13"/>
  <c r="I29" i="13"/>
  <c r="L190" i="3"/>
  <c r="K190" i="3"/>
  <c r="K199" i="3"/>
  <c r="L199" i="3"/>
  <c r="D272" i="1"/>
  <c r="F228" i="1"/>
  <c r="G228" i="1"/>
  <c r="D228" i="1"/>
  <c r="E228" i="1"/>
  <c r="G144" i="11"/>
  <c r="D165" i="11"/>
  <c r="D167" i="11"/>
  <c r="H33" i="13"/>
  <c r="J33" i="13"/>
  <c r="H34" i="13"/>
  <c r="I33" i="13"/>
  <c r="K33" i="13"/>
  <c r="J34" i="13"/>
  <c r="H140" i="1"/>
  <c r="F166" i="1"/>
  <c r="G166" i="1"/>
  <c r="J140" i="1"/>
  <c r="B131" i="10"/>
  <c r="M75" i="4"/>
  <c r="M76" i="4"/>
  <c r="I75" i="4"/>
  <c r="A77" i="4"/>
  <c r="F86" i="18"/>
  <c r="L93" i="18"/>
  <c r="H24" i="12"/>
  <c r="M24" i="12"/>
  <c r="J24" i="12"/>
  <c r="K22" i="12"/>
  <c r="I24" i="12"/>
  <c r="J74" i="11"/>
  <c r="K115" i="11"/>
  <c r="K137" i="11"/>
  <c r="H107" i="20"/>
  <c r="C119" i="20"/>
  <c r="H55" i="3"/>
  <c r="J55" i="3"/>
  <c r="K55" i="3"/>
  <c r="P281" i="11"/>
  <c r="O109" i="3"/>
  <c r="M181" i="3"/>
  <c r="J63" i="13"/>
  <c r="M136" i="1"/>
  <c r="K136" i="1"/>
  <c r="L136" i="1"/>
  <c r="I140" i="1"/>
  <c r="E166" i="1"/>
  <c r="E168" i="1"/>
  <c r="E299" i="1"/>
  <c r="E304" i="1"/>
  <c r="E323" i="1"/>
  <c r="E295" i="1"/>
  <c r="G164" i="11"/>
  <c r="D185" i="11"/>
  <c r="D187" i="11"/>
  <c r="F84" i="18"/>
  <c r="L94" i="18"/>
  <c r="N55" i="4"/>
  <c r="N54" i="4"/>
  <c r="I126" i="4"/>
  <c r="N131" i="4"/>
  <c r="N164" i="11"/>
  <c r="H57" i="13"/>
  <c r="J57" i="13"/>
  <c r="H58" i="13"/>
  <c r="I57" i="13"/>
  <c r="I58" i="13"/>
  <c r="K57" i="13"/>
  <c r="J58" i="13"/>
  <c r="B109" i="10"/>
  <c r="K25" i="10"/>
  <c r="I27" i="10"/>
  <c r="J27" i="10"/>
  <c r="H27" i="10"/>
  <c r="M106" i="7"/>
  <c r="I52" i="19"/>
  <c r="I54" i="19"/>
  <c r="D72" i="19"/>
  <c r="F81" i="19"/>
  <c r="F61" i="19"/>
  <c r="Q131" i="1"/>
  <c r="C151" i="1"/>
  <c r="C150" i="1"/>
  <c r="N131" i="1"/>
  <c r="G175" i="1"/>
  <c r="J148" i="1"/>
  <c r="H149" i="1"/>
  <c r="H143" i="1"/>
  <c r="J143" i="1"/>
  <c r="K148" i="1"/>
  <c r="I149" i="1"/>
  <c r="I143" i="1"/>
  <c r="K143" i="1"/>
  <c r="D175" i="1"/>
  <c r="D177" i="1"/>
  <c r="P282" i="11"/>
  <c r="T66" i="3"/>
  <c r="H75" i="17"/>
  <c r="N144" i="11"/>
  <c r="I155" i="11"/>
  <c r="P306" i="11"/>
  <c r="G170" i="1"/>
  <c r="J144" i="1"/>
  <c r="H147" i="1"/>
  <c r="K144" i="1"/>
  <c r="I147" i="1"/>
  <c r="I146" i="1"/>
  <c r="D170" i="1"/>
  <c r="H146" i="1"/>
  <c r="M146" i="1"/>
  <c r="J146" i="1"/>
  <c r="G177" i="1"/>
  <c r="H54" i="4"/>
  <c r="K54" i="4"/>
  <c r="I54" i="4"/>
  <c r="G188" i="11"/>
  <c r="D209" i="11"/>
  <c r="H56" i="3"/>
  <c r="J56" i="3"/>
  <c r="H57" i="3"/>
  <c r="I56" i="3"/>
  <c r="I57" i="3"/>
  <c r="K56" i="3"/>
  <c r="J57" i="3"/>
  <c r="I137" i="11"/>
  <c r="K138" i="11"/>
  <c r="M138" i="11"/>
  <c r="G168" i="1"/>
  <c r="M140" i="1"/>
  <c r="C154" i="1"/>
  <c r="I34" i="13"/>
  <c r="O34" i="13"/>
  <c r="K34" i="13"/>
  <c r="H36" i="13"/>
  <c r="M36" i="13"/>
  <c r="J36" i="13"/>
  <c r="N36" i="13"/>
  <c r="D39" i="13"/>
  <c r="I36" i="13"/>
  <c r="G229" i="1"/>
  <c r="D258" i="1"/>
  <c r="D229" i="1"/>
  <c r="F258" i="1"/>
  <c r="F72" i="18"/>
  <c r="D73" i="18"/>
  <c r="G72" i="18"/>
  <c r="E73" i="18"/>
  <c r="D72" i="18"/>
  <c r="E72" i="18"/>
  <c r="G73" i="18"/>
  <c r="K96" i="4"/>
  <c r="H96" i="4"/>
  <c r="J96" i="4"/>
  <c r="I144" i="11"/>
  <c r="M239" i="3"/>
  <c r="M240" i="3"/>
  <c r="M168" i="3"/>
  <c r="M169" i="3"/>
  <c r="M114" i="3"/>
  <c r="M115" i="3"/>
  <c r="I114" i="3"/>
  <c r="O355" i="1"/>
  <c r="D306" i="11"/>
  <c r="J149" i="1"/>
  <c r="C157" i="1"/>
  <c r="M126" i="4"/>
  <c r="J68" i="4"/>
  <c r="H89" i="4"/>
  <c r="K89" i="4"/>
  <c r="I89" i="4"/>
  <c r="J89" i="4"/>
  <c r="M128" i="4"/>
  <c r="K128" i="4"/>
  <c r="L128" i="4"/>
  <c r="E187" i="11"/>
  <c r="D286" i="11"/>
  <c r="E177" i="1"/>
  <c r="N62" i="3"/>
  <c r="N63" i="3"/>
  <c r="J62" i="3"/>
  <c r="L141" i="11"/>
  <c r="L142" i="11"/>
  <c r="L165" i="11"/>
  <c r="L166" i="11"/>
  <c r="L189" i="11"/>
  <c r="L190" i="11"/>
  <c r="L213" i="11"/>
  <c r="L214" i="11"/>
  <c r="L237" i="11"/>
  <c r="L238" i="11"/>
  <c r="L261" i="11"/>
  <c r="L262" i="11"/>
  <c r="L285" i="11"/>
  <c r="L286" i="11"/>
  <c r="L309" i="11"/>
  <c r="L310" i="11"/>
  <c r="L333" i="11"/>
  <c r="L334" i="11"/>
  <c r="L357" i="11"/>
  <c r="L358" i="11"/>
  <c r="L381" i="11"/>
  <c r="L382" i="11"/>
  <c r="L119" i="11"/>
  <c r="L147" i="11"/>
  <c r="L171" i="11"/>
  <c r="L195" i="11"/>
  <c r="L219" i="11"/>
  <c r="L243" i="11"/>
  <c r="L267" i="11"/>
  <c r="L291" i="11"/>
  <c r="L315" i="11"/>
  <c r="L339" i="11"/>
  <c r="L363" i="11"/>
  <c r="L387" i="11"/>
  <c r="H47" i="4"/>
  <c r="J47" i="4"/>
  <c r="K47" i="4"/>
  <c r="D304" i="1"/>
  <c r="N139" i="3"/>
  <c r="N140" i="3"/>
  <c r="J139" i="3"/>
  <c r="F187" i="11"/>
  <c r="G178" i="1"/>
  <c r="E179" i="1"/>
  <c r="D207" i="1"/>
  <c r="I144" i="1"/>
  <c r="K147" i="1"/>
  <c r="E170" i="1"/>
  <c r="E172" i="1"/>
  <c r="F170" i="1"/>
  <c r="F172" i="1"/>
  <c r="H144" i="1"/>
  <c r="C158" i="1"/>
  <c r="C152" i="1"/>
  <c r="N174" i="1"/>
  <c r="Q174" i="1"/>
  <c r="C183" i="1"/>
  <c r="C182" i="1"/>
  <c r="F69" i="19"/>
  <c r="H66" i="19"/>
  <c r="M27" i="10"/>
  <c r="K27" i="10"/>
  <c r="L27" i="10"/>
  <c r="K58" i="13"/>
  <c r="I60" i="13"/>
  <c r="H60" i="13"/>
  <c r="J60" i="13"/>
  <c r="J54" i="4"/>
  <c r="E327" i="1"/>
  <c r="E331" i="1"/>
  <c r="E336" i="1"/>
  <c r="E355" i="1"/>
  <c r="E169" i="1"/>
  <c r="E198" i="1"/>
  <c r="P305" i="11"/>
  <c r="K116" i="11"/>
  <c r="M116" i="11"/>
  <c r="L24" i="12"/>
  <c r="K24" i="12"/>
  <c r="H75" i="4"/>
  <c r="J75" i="4"/>
  <c r="K75" i="4"/>
  <c r="F168" i="1"/>
  <c r="G168" i="11"/>
  <c r="D189" i="11"/>
  <c r="E258" i="1"/>
  <c r="E260" i="1"/>
  <c r="E229" i="1"/>
  <c r="F229" i="1"/>
  <c r="G258" i="1"/>
  <c r="L29" i="13"/>
  <c r="K29" i="13"/>
  <c r="I96" i="4"/>
  <c r="F167" i="11"/>
  <c r="I29" i="12"/>
  <c r="O29" i="12"/>
  <c r="K29" i="12"/>
  <c r="H31" i="12"/>
  <c r="J31" i="12"/>
  <c r="N31" i="12"/>
  <c r="D34" i="12"/>
  <c r="I31" i="12"/>
  <c r="M217" i="3"/>
  <c r="M218" i="3"/>
  <c r="I217" i="3"/>
  <c r="M146" i="3"/>
  <c r="M147" i="3"/>
  <c r="I146" i="3"/>
  <c r="G167" i="11"/>
  <c r="I194" i="1"/>
  <c r="K195" i="1"/>
  <c r="M195" i="1"/>
  <c r="F177" i="1"/>
  <c r="E167" i="11"/>
  <c r="L108" i="10"/>
  <c r="K108" i="10"/>
  <c r="I34" i="10"/>
  <c r="H34" i="10"/>
  <c r="K32" i="10"/>
  <c r="J34" i="10"/>
  <c r="N34" i="10"/>
  <c r="D37" i="10"/>
  <c r="O32" i="10"/>
  <c r="I32" i="10"/>
  <c r="I177" i="11"/>
  <c r="C177" i="11"/>
  <c r="H194" i="11"/>
  <c r="G187" i="11"/>
  <c r="K68" i="4"/>
  <c r="I68" i="4"/>
  <c r="H68" i="4"/>
  <c r="I82" i="21"/>
  <c r="I83" i="21"/>
  <c r="K82" i="21"/>
  <c r="F77" i="21"/>
  <c r="K79" i="21"/>
  <c r="E104" i="21"/>
  <c r="I64" i="13"/>
  <c r="K64" i="13"/>
  <c r="J65" i="13"/>
  <c r="H64" i="13"/>
  <c r="J64" i="13"/>
  <c r="H65" i="13"/>
  <c r="O354" i="1"/>
  <c r="L161" i="11"/>
  <c r="L162" i="11"/>
  <c r="L185" i="11"/>
  <c r="L186" i="11"/>
  <c r="L209" i="11"/>
  <c r="L210" i="11"/>
  <c r="L233" i="11"/>
  <c r="L234" i="11"/>
  <c r="L257" i="11"/>
  <c r="L258" i="11"/>
  <c r="L281" i="11"/>
  <c r="L282" i="11"/>
  <c r="L305" i="11"/>
  <c r="L306" i="11"/>
  <c r="L329" i="11"/>
  <c r="L330" i="11"/>
  <c r="L353" i="11"/>
  <c r="L354" i="11"/>
  <c r="L377" i="11"/>
  <c r="L378" i="11"/>
  <c r="L146" i="11"/>
  <c r="L170" i="11"/>
  <c r="L194" i="11"/>
  <c r="L218" i="11"/>
  <c r="L242" i="11"/>
  <c r="L266" i="11"/>
  <c r="L290" i="11"/>
  <c r="L314" i="11"/>
  <c r="L338" i="11"/>
  <c r="L362" i="11"/>
  <c r="L386" i="11"/>
  <c r="I47" i="4"/>
  <c r="L130" i="10"/>
  <c r="K130" i="10"/>
  <c r="D168" i="1"/>
  <c r="D331" i="1"/>
  <c r="D355" i="1"/>
  <c r="D327" i="1"/>
  <c r="N161" i="3"/>
  <c r="N162" i="3"/>
  <c r="N121" i="3"/>
  <c r="N122" i="3"/>
  <c r="J121" i="3"/>
  <c r="I164" i="11"/>
  <c r="C179" i="11"/>
  <c r="J161" i="3"/>
  <c r="D336" i="1"/>
  <c r="I67" i="13"/>
  <c r="K65" i="13"/>
  <c r="H67" i="13"/>
  <c r="M67" i="13"/>
  <c r="J67" i="13"/>
  <c r="N67" i="13"/>
  <c r="D70" i="13"/>
  <c r="E74" i="13"/>
  <c r="O65" i="13"/>
  <c r="I65" i="13"/>
  <c r="I84" i="21"/>
  <c r="B122" i="21"/>
  <c r="B125" i="21"/>
  <c r="B128" i="21"/>
  <c r="F188" i="11"/>
  <c r="G209" i="11"/>
  <c r="K34" i="10"/>
  <c r="L34" i="10"/>
  <c r="F207" i="1"/>
  <c r="D178" i="1"/>
  <c r="I195" i="1"/>
  <c r="K226" i="1"/>
  <c r="F168" i="11"/>
  <c r="G189" i="11"/>
  <c r="K146" i="3"/>
  <c r="H146" i="3"/>
  <c r="J146" i="3"/>
  <c r="K217" i="3"/>
  <c r="H217" i="3"/>
  <c r="J217" i="3"/>
  <c r="M31" i="12"/>
  <c r="D168" i="11"/>
  <c r="F189" i="11"/>
  <c r="G260" i="1"/>
  <c r="F198" i="1"/>
  <c r="D169" i="1"/>
  <c r="M141" i="11"/>
  <c r="M119" i="11"/>
  <c r="O119" i="11"/>
  <c r="K128" i="11"/>
  <c r="P329" i="11"/>
  <c r="M60" i="13"/>
  <c r="J147" i="1"/>
  <c r="C155" i="1"/>
  <c r="E173" i="1"/>
  <c r="G174" i="1"/>
  <c r="E202" i="1"/>
  <c r="F209" i="11"/>
  <c r="D188" i="11"/>
  <c r="K139" i="3"/>
  <c r="H139" i="3"/>
  <c r="I139" i="3"/>
  <c r="H48" i="4"/>
  <c r="J48" i="4"/>
  <c r="H49" i="4"/>
  <c r="I48" i="4"/>
  <c r="I49" i="4"/>
  <c r="K48" i="4"/>
  <c r="J49" i="4"/>
  <c r="K62" i="3"/>
  <c r="I62" i="3"/>
  <c r="H62" i="3"/>
  <c r="D310" i="11"/>
  <c r="O387" i="1"/>
  <c r="I168" i="3"/>
  <c r="I239" i="3"/>
  <c r="F260" i="1"/>
  <c r="D260" i="1"/>
  <c r="L36" i="13"/>
  <c r="K36" i="13"/>
  <c r="F169" i="1"/>
  <c r="G198" i="1"/>
  <c r="I138" i="11"/>
  <c r="K161" i="11"/>
  <c r="K146" i="11"/>
  <c r="N146" i="11"/>
  <c r="C152" i="11"/>
  <c r="I55" i="4"/>
  <c r="H55" i="4"/>
  <c r="D172" i="1"/>
  <c r="G172" i="1"/>
  <c r="K121" i="3"/>
  <c r="H121" i="3"/>
  <c r="I121" i="3"/>
  <c r="K161" i="3"/>
  <c r="H161" i="3"/>
  <c r="I161" i="3"/>
  <c r="D359" i="1"/>
  <c r="D363" i="1"/>
  <c r="D387" i="1"/>
  <c r="G169" i="1"/>
  <c r="D198" i="1"/>
  <c r="D200" i="1"/>
  <c r="O386" i="1"/>
  <c r="C201" i="11"/>
  <c r="H218" i="11"/>
  <c r="I201" i="11"/>
  <c r="M34" i="10"/>
  <c r="E189" i="11"/>
  <c r="E191" i="11"/>
  <c r="E168" i="11"/>
  <c r="M226" i="1"/>
  <c r="R206" i="1"/>
  <c r="E215" i="1"/>
  <c r="P206" i="1"/>
  <c r="L31" i="12"/>
  <c r="K31" i="12"/>
  <c r="E261" i="1"/>
  <c r="E290" i="1"/>
  <c r="K141" i="11"/>
  <c r="K119" i="11"/>
  <c r="N119" i="11"/>
  <c r="I128" i="11"/>
  <c r="I126" i="11"/>
  <c r="E363" i="1"/>
  <c r="E368" i="1"/>
  <c r="E387" i="1"/>
  <c r="E359" i="1"/>
  <c r="K60" i="13"/>
  <c r="L60" i="13"/>
  <c r="E68" i="10"/>
  <c r="E46" i="10"/>
  <c r="C184" i="1"/>
  <c r="Q206" i="1"/>
  <c r="C215" i="1"/>
  <c r="C214" i="1"/>
  <c r="N206" i="1"/>
  <c r="D173" i="1"/>
  <c r="F202" i="1"/>
  <c r="E178" i="1"/>
  <c r="G179" i="1"/>
  <c r="E207" i="1"/>
  <c r="E188" i="11"/>
  <c r="E209" i="11"/>
  <c r="E211" i="11"/>
  <c r="D330" i="11"/>
  <c r="K114" i="3"/>
  <c r="H114" i="3"/>
  <c r="J114" i="3"/>
  <c r="K168" i="3"/>
  <c r="H168" i="3"/>
  <c r="J168" i="3"/>
  <c r="H239" i="3"/>
  <c r="J239" i="3"/>
  <c r="K239" i="3"/>
  <c r="N72" i="18"/>
  <c r="I72" i="18"/>
  <c r="M85" i="18"/>
  <c r="F73" i="18"/>
  <c r="N73" i="18"/>
  <c r="I73" i="18"/>
  <c r="M88" i="18"/>
  <c r="I229" i="1"/>
  <c r="C249" i="1"/>
  <c r="M161" i="11"/>
  <c r="O146" i="11"/>
  <c r="E152" i="11"/>
  <c r="M146" i="11"/>
  <c r="K57" i="3"/>
  <c r="I59" i="3"/>
  <c r="H59" i="3"/>
  <c r="M59" i="3"/>
  <c r="J59" i="3"/>
  <c r="F178" i="1"/>
  <c r="D179" i="1"/>
  <c r="G207" i="1"/>
  <c r="G209" i="1"/>
  <c r="K146" i="1"/>
  <c r="L146" i="1"/>
  <c r="C156" i="1"/>
  <c r="P330" i="11"/>
  <c r="E233" i="11"/>
  <c r="E212" i="11"/>
  <c r="E209" i="1"/>
  <c r="C216" i="1"/>
  <c r="O70" i="10"/>
  <c r="O69" i="10"/>
  <c r="E391" i="1"/>
  <c r="E395" i="1"/>
  <c r="E400" i="1"/>
  <c r="E419" i="1"/>
  <c r="E200" i="1"/>
  <c r="I130" i="11"/>
  <c r="R238" i="1"/>
  <c r="E247" i="1"/>
  <c r="E192" i="11"/>
  <c r="E213" i="11"/>
  <c r="O418" i="1"/>
  <c r="D368" i="1"/>
  <c r="F173" i="1"/>
  <c r="D174" i="1"/>
  <c r="I174" i="1"/>
  <c r="C188" i="1"/>
  <c r="G202" i="1"/>
  <c r="J55" i="4"/>
  <c r="H56" i="4"/>
  <c r="K55" i="4"/>
  <c r="J56" i="4"/>
  <c r="D211" i="11"/>
  <c r="C154" i="11"/>
  <c r="N170" i="11"/>
  <c r="C176" i="11"/>
  <c r="D261" i="1"/>
  <c r="I261" i="1"/>
  <c r="C281" i="1"/>
  <c r="F290" i="1"/>
  <c r="I63" i="3"/>
  <c r="K63" i="3"/>
  <c r="J64" i="3"/>
  <c r="H63" i="3"/>
  <c r="J63" i="3"/>
  <c r="H64" i="3"/>
  <c r="K49" i="4"/>
  <c r="I51" i="4"/>
  <c r="H51" i="4"/>
  <c r="M51" i="4"/>
  <c r="J51" i="4"/>
  <c r="I188" i="11"/>
  <c r="C203" i="11"/>
  <c r="D209" i="1"/>
  <c r="P353" i="11"/>
  <c r="O147" i="11"/>
  <c r="K152" i="11"/>
  <c r="I169" i="1"/>
  <c r="C186" i="1"/>
  <c r="D191" i="11"/>
  <c r="F191" i="11"/>
  <c r="N168" i="11"/>
  <c r="I179" i="11"/>
  <c r="F209" i="1"/>
  <c r="N188" i="11"/>
  <c r="I88" i="21"/>
  <c r="J93" i="21"/>
  <c r="E92" i="21"/>
  <c r="H96" i="21"/>
  <c r="H97" i="21"/>
  <c r="J120" i="21"/>
  <c r="I85" i="21"/>
  <c r="J92" i="21"/>
  <c r="G92" i="21"/>
  <c r="P354" i="11"/>
  <c r="F210" i="1"/>
  <c r="D211" i="1"/>
  <c r="G239" i="1"/>
  <c r="K59" i="3"/>
  <c r="L59" i="3"/>
  <c r="I115" i="3"/>
  <c r="I116" i="3"/>
  <c r="K115" i="3"/>
  <c r="J116" i="3"/>
  <c r="H115" i="3"/>
  <c r="J115" i="3"/>
  <c r="H116" i="3"/>
  <c r="D354" i="11"/>
  <c r="I173" i="1"/>
  <c r="C187" i="1"/>
  <c r="F174" i="1"/>
  <c r="O47" i="10"/>
  <c r="O48" i="10"/>
  <c r="I141" i="11"/>
  <c r="M142" i="11"/>
  <c r="M165" i="11"/>
  <c r="K142" i="11"/>
  <c r="I225" i="11"/>
  <c r="C225" i="11"/>
  <c r="H242" i="11"/>
  <c r="G201" i="1"/>
  <c r="D230" i="1"/>
  <c r="D395" i="1"/>
  <c r="D419" i="1"/>
  <c r="D391" i="1"/>
  <c r="G173" i="1"/>
  <c r="E174" i="1"/>
  <c r="D202" i="1"/>
  <c r="D204" i="1"/>
  <c r="K56" i="4"/>
  <c r="J58" i="4"/>
  <c r="N58" i="4"/>
  <c r="O56" i="4"/>
  <c r="I56" i="4"/>
  <c r="C150" i="11"/>
  <c r="I161" i="11"/>
  <c r="M162" i="11"/>
  <c r="M185" i="11"/>
  <c r="K162" i="11"/>
  <c r="G200" i="1"/>
  <c r="G261" i="1"/>
  <c r="D290" i="1"/>
  <c r="O419" i="1"/>
  <c r="D334" i="11"/>
  <c r="F211" i="11"/>
  <c r="F200" i="1"/>
  <c r="F261" i="1"/>
  <c r="G290" i="1"/>
  <c r="G292" i="1"/>
  <c r="I168" i="11"/>
  <c r="G191" i="11"/>
  <c r="I226" i="1"/>
  <c r="K227" i="1"/>
  <c r="M227" i="1"/>
  <c r="M258" i="1"/>
  <c r="F179" i="1"/>
  <c r="I179" i="1"/>
  <c r="C190" i="1"/>
  <c r="I178" i="1"/>
  <c r="C189" i="1"/>
  <c r="G211" i="11"/>
  <c r="O75" i="13"/>
  <c r="O76" i="13"/>
  <c r="K75" i="13"/>
  <c r="J76" i="13"/>
  <c r="K67" i="13"/>
  <c r="L67" i="13"/>
  <c r="F212" i="11"/>
  <c r="G233" i="11"/>
  <c r="K258" i="1"/>
  <c r="I227" i="1"/>
  <c r="F192" i="11"/>
  <c r="G213" i="11"/>
  <c r="F293" i="1"/>
  <c r="G322" i="1"/>
  <c r="D201" i="1"/>
  <c r="F230" i="1"/>
  <c r="D212" i="11"/>
  <c r="F233" i="11"/>
  <c r="O451" i="1"/>
  <c r="D292" i="1"/>
  <c r="F201" i="1"/>
  <c r="G230" i="1"/>
  <c r="G205" i="1"/>
  <c r="E206" i="1"/>
  <c r="D234" i="1"/>
  <c r="D400" i="1"/>
  <c r="I142" i="11"/>
  <c r="K165" i="11"/>
  <c r="I47" i="10"/>
  <c r="J47" i="10"/>
  <c r="H47" i="10"/>
  <c r="D378" i="11"/>
  <c r="O170" i="11"/>
  <c r="E176" i="11"/>
  <c r="P378" i="11"/>
  <c r="I86" i="21"/>
  <c r="B123" i="21"/>
  <c r="F94" i="21"/>
  <c r="G94" i="21"/>
  <c r="D94" i="21"/>
  <c r="E94" i="21"/>
  <c r="G192" i="11"/>
  <c r="D213" i="11"/>
  <c r="P377" i="11"/>
  <c r="I66" i="3"/>
  <c r="K64" i="3"/>
  <c r="H66" i="3"/>
  <c r="M66" i="3"/>
  <c r="J66" i="3"/>
  <c r="N66" i="3"/>
  <c r="D69" i="3"/>
  <c r="O64" i="3"/>
  <c r="I64" i="3"/>
  <c r="C174" i="11"/>
  <c r="G212" i="11"/>
  <c r="D233" i="11"/>
  <c r="D235" i="11"/>
  <c r="I122" i="3"/>
  <c r="H122" i="3"/>
  <c r="O450" i="1"/>
  <c r="E292" i="1"/>
  <c r="N147" i="11"/>
  <c r="I152" i="11"/>
  <c r="I150" i="11"/>
  <c r="E230" i="1"/>
  <c r="E232" i="1"/>
  <c r="E201" i="1"/>
  <c r="J69" i="10"/>
  <c r="I69" i="10"/>
  <c r="H69" i="10"/>
  <c r="Q238" i="1"/>
  <c r="C247" i="1"/>
  <c r="C246" i="1"/>
  <c r="N238" i="1"/>
  <c r="E239" i="1"/>
  <c r="E210" i="1"/>
  <c r="G211" i="1"/>
  <c r="E235" i="11"/>
  <c r="H75" i="13"/>
  <c r="K76" i="13"/>
  <c r="I75" i="13"/>
  <c r="I76" i="13"/>
  <c r="J75" i="13"/>
  <c r="H76" i="13"/>
  <c r="E204" i="1"/>
  <c r="D358" i="11"/>
  <c r="I162" i="11"/>
  <c r="K185" i="11"/>
  <c r="E60" i="4"/>
  <c r="D104" i="4"/>
  <c r="E81" i="4"/>
  <c r="H58" i="4"/>
  <c r="M58" i="4"/>
  <c r="I58" i="4"/>
  <c r="D423" i="1"/>
  <c r="D427" i="1"/>
  <c r="D451" i="1"/>
  <c r="D232" i="1"/>
  <c r="C249" i="11"/>
  <c r="H266" i="11"/>
  <c r="I249" i="11"/>
  <c r="K47" i="10"/>
  <c r="H118" i="3"/>
  <c r="J118" i="3"/>
  <c r="K116" i="3"/>
  <c r="I118" i="3"/>
  <c r="M170" i="11"/>
  <c r="E98" i="21"/>
  <c r="E99" i="21"/>
  <c r="E102" i="21"/>
  <c r="F98" i="21"/>
  <c r="F99" i="21"/>
  <c r="F102" i="21"/>
  <c r="D98" i="21"/>
  <c r="D99" i="21"/>
  <c r="I89" i="21"/>
  <c r="J123" i="21"/>
  <c r="D210" i="1"/>
  <c r="F239" i="1"/>
  <c r="F213" i="11"/>
  <c r="F215" i="11"/>
  <c r="D192" i="11"/>
  <c r="I192" i="11"/>
  <c r="M147" i="11"/>
  <c r="G210" i="1"/>
  <c r="E211" i="1"/>
  <c r="D239" i="1"/>
  <c r="D241" i="1"/>
  <c r="K51" i="4"/>
  <c r="L51" i="4"/>
  <c r="F292" i="1"/>
  <c r="K170" i="11"/>
  <c r="G204" i="1"/>
  <c r="K122" i="3"/>
  <c r="J123" i="3"/>
  <c r="J122" i="3"/>
  <c r="H123" i="3"/>
  <c r="P238" i="1"/>
  <c r="K147" i="11"/>
  <c r="E427" i="1"/>
  <c r="E432" i="1"/>
  <c r="E451" i="1"/>
  <c r="E423" i="1"/>
  <c r="K69" i="10"/>
  <c r="F204" i="1"/>
  <c r="J70" i="10"/>
  <c r="K76" i="10"/>
  <c r="E455" i="1"/>
  <c r="E459" i="1"/>
  <c r="E464" i="1"/>
  <c r="E483" i="1"/>
  <c r="F322" i="1"/>
  <c r="D293" i="1"/>
  <c r="F241" i="1"/>
  <c r="H99" i="21"/>
  <c r="D102" i="21"/>
  <c r="I102" i="21"/>
  <c r="E105" i="21"/>
  <c r="G102" i="21"/>
  <c r="G106" i="21"/>
  <c r="H102" i="21"/>
  <c r="E106" i="21"/>
  <c r="E147" i="21"/>
  <c r="M194" i="11"/>
  <c r="M118" i="3"/>
  <c r="D459" i="1"/>
  <c r="D483" i="1"/>
  <c r="D455" i="1"/>
  <c r="I185" i="11"/>
  <c r="M186" i="11"/>
  <c r="M209" i="11"/>
  <c r="K186" i="11"/>
  <c r="B77" i="13"/>
  <c r="C248" i="1"/>
  <c r="I72" i="10"/>
  <c r="K70" i="10"/>
  <c r="J72" i="10"/>
  <c r="H72" i="10"/>
  <c r="M72" i="10"/>
  <c r="H76" i="10"/>
  <c r="H70" i="10"/>
  <c r="J76" i="10"/>
  <c r="E233" i="1"/>
  <c r="E262" i="1"/>
  <c r="E293" i="1"/>
  <c r="E322" i="1"/>
  <c r="K123" i="3"/>
  <c r="H125" i="3"/>
  <c r="J125" i="3"/>
  <c r="N125" i="3"/>
  <c r="I125" i="3"/>
  <c r="G236" i="11"/>
  <c r="D257" i="11"/>
  <c r="N94" i="21"/>
  <c r="I94" i="21"/>
  <c r="I87" i="21"/>
  <c r="B126" i="21"/>
  <c r="G241" i="1"/>
  <c r="H48" i="10"/>
  <c r="J54" i="10"/>
  <c r="I165" i="11"/>
  <c r="K166" i="11"/>
  <c r="M166" i="11"/>
  <c r="M189" i="11"/>
  <c r="O483" i="1"/>
  <c r="F235" i="11"/>
  <c r="F232" i="1"/>
  <c r="G215" i="11"/>
  <c r="G235" i="11"/>
  <c r="K171" i="11"/>
  <c r="I154" i="11"/>
  <c r="N171" i="11"/>
  <c r="I176" i="11"/>
  <c r="F205" i="1"/>
  <c r="D206" i="1"/>
  <c r="G234" i="1"/>
  <c r="F234" i="1"/>
  <c r="D205" i="1"/>
  <c r="K194" i="11"/>
  <c r="C178" i="11"/>
  <c r="N194" i="11"/>
  <c r="C200" i="11"/>
  <c r="G242" i="1"/>
  <c r="E243" i="1"/>
  <c r="D271" i="1"/>
  <c r="M171" i="11"/>
  <c r="O171" i="11"/>
  <c r="K176" i="11"/>
  <c r="D216" i="11"/>
  <c r="F237" i="11"/>
  <c r="I210" i="1"/>
  <c r="C221" i="1"/>
  <c r="F211" i="1"/>
  <c r="I211" i="1"/>
  <c r="C222" i="1"/>
  <c r="I90" i="21"/>
  <c r="J129" i="21"/>
  <c r="J126" i="21"/>
  <c r="L118" i="3"/>
  <c r="K118" i="3"/>
  <c r="J48" i="10"/>
  <c r="K54" i="10"/>
  <c r="I273" i="11"/>
  <c r="C273" i="11"/>
  <c r="H290" i="11"/>
  <c r="G233" i="1"/>
  <c r="D262" i="1"/>
  <c r="D432" i="1"/>
  <c r="K58" i="4"/>
  <c r="L58" i="4"/>
  <c r="O82" i="4"/>
  <c r="A84" i="4"/>
  <c r="O83" i="4"/>
  <c r="K82" i="4"/>
  <c r="O62" i="4"/>
  <c r="O61" i="4"/>
  <c r="A63" i="4"/>
  <c r="D382" i="11"/>
  <c r="E205" i="1"/>
  <c r="G206" i="1"/>
  <c r="E234" i="1"/>
  <c r="E236" i="1"/>
  <c r="E236" i="11"/>
  <c r="E257" i="11"/>
  <c r="E241" i="1"/>
  <c r="I70" i="10"/>
  <c r="I76" i="10"/>
  <c r="E215" i="11"/>
  <c r="O482" i="1"/>
  <c r="I123" i="3"/>
  <c r="O123" i="3"/>
  <c r="K66" i="3"/>
  <c r="L66" i="3"/>
  <c r="D215" i="11"/>
  <c r="K48" i="10"/>
  <c r="H50" i="10"/>
  <c r="J50" i="10"/>
  <c r="I50" i="10"/>
  <c r="H54" i="10"/>
  <c r="I48" i="10"/>
  <c r="I54" i="10"/>
  <c r="G232" i="1"/>
  <c r="G293" i="1"/>
  <c r="D322" i="1"/>
  <c r="D324" i="1"/>
  <c r="I212" i="11"/>
  <c r="C227" i="11"/>
  <c r="I201" i="1"/>
  <c r="C218" i="1"/>
  <c r="N192" i="11"/>
  <c r="I203" i="11"/>
  <c r="I258" i="1"/>
  <c r="M259" i="1"/>
  <c r="M290" i="1"/>
  <c r="K259" i="1"/>
  <c r="N212" i="11"/>
  <c r="I259" i="1"/>
  <c r="K290" i="1"/>
  <c r="G325" i="1"/>
  <c r="D354" i="1"/>
  <c r="F233" i="1"/>
  <c r="G262" i="1"/>
  <c r="I55" i="10"/>
  <c r="I61" i="10"/>
  <c r="I62" i="10"/>
  <c r="H57" i="10"/>
  <c r="J57" i="10"/>
  <c r="I57" i="10"/>
  <c r="K55" i="10"/>
  <c r="H61" i="10"/>
  <c r="E237" i="11"/>
  <c r="E216" i="11"/>
  <c r="E266" i="1"/>
  <c r="E237" i="1"/>
  <c r="G238" i="1"/>
  <c r="J61" i="4"/>
  <c r="I61" i="4"/>
  <c r="H61" i="4"/>
  <c r="H82" i="4"/>
  <c r="J82" i="4"/>
  <c r="I82" i="4"/>
  <c r="C297" i="11"/>
  <c r="H314" i="11"/>
  <c r="I297" i="11"/>
  <c r="E203" i="3"/>
  <c r="E225" i="3"/>
  <c r="R270" i="1"/>
  <c r="E279" i="1"/>
  <c r="F206" i="1"/>
  <c r="I205" i="1"/>
  <c r="C219" i="1"/>
  <c r="G236" i="1"/>
  <c r="I174" i="11"/>
  <c r="I178" i="11"/>
  <c r="F216" i="11"/>
  <c r="I216" i="11"/>
  <c r="G237" i="11"/>
  <c r="F262" i="1"/>
  <c r="F264" i="1"/>
  <c r="D233" i="1"/>
  <c r="I233" i="1"/>
  <c r="C250" i="1"/>
  <c r="L125" i="3"/>
  <c r="K125" i="3"/>
  <c r="N270" i="1"/>
  <c r="I186" i="11"/>
  <c r="K209" i="11"/>
  <c r="D487" i="1"/>
  <c r="D491" i="1"/>
  <c r="I293" i="1"/>
  <c r="C313" i="1"/>
  <c r="E491" i="1"/>
  <c r="E496" i="1"/>
  <c r="E487" i="1"/>
  <c r="D236" i="1"/>
  <c r="L50" i="10"/>
  <c r="K50" i="10"/>
  <c r="M50" i="10"/>
  <c r="G216" i="11"/>
  <c r="D237" i="11"/>
  <c r="D239" i="11"/>
  <c r="I77" i="10"/>
  <c r="I83" i="10"/>
  <c r="I84" i="10"/>
  <c r="E242" i="1"/>
  <c r="G243" i="1"/>
  <c r="E271" i="1"/>
  <c r="K61" i="4"/>
  <c r="J55" i="10"/>
  <c r="K61" i="10"/>
  <c r="J62" i="10"/>
  <c r="F239" i="11"/>
  <c r="C202" i="11"/>
  <c r="P270" i="1"/>
  <c r="F236" i="1"/>
  <c r="I206" i="1"/>
  <c r="C220" i="1"/>
  <c r="F236" i="11"/>
  <c r="G257" i="11"/>
  <c r="G324" i="1"/>
  <c r="F257" i="11"/>
  <c r="F259" i="11"/>
  <c r="D236" i="11"/>
  <c r="I236" i="11"/>
  <c r="C251" i="11"/>
  <c r="I166" i="11"/>
  <c r="K189" i="11"/>
  <c r="H55" i="10"/>
  <c r="J61" i="10"/>
  <c r="H62" i="10"/>
  <c r="F242" i="1"/>
  <c r="D243" i="1"/>
  <c r="G271" i="1"/>
  <c r="B129" i="21"/>
  <c r="E132" i="3"/>
  <c r="E154" i="3"/>
  <c r="M125" i="3"/>
  <c r="E324" i="1"/>
  <c r="E264" i="1"/>
  <c r="H77" i="10"/>
  <c r="J83" i="10"/>
  <c r="H84" i="10"/>
  <c r="K77" i="10"/>
  <c r="I79" i="10"/>
  <c r="H79" i="10"/>
  <c r="M79" i="10"/>
  <c r="J79" i="10"/>
  <c r="H83" i="10"/>
  <c r="K72" i="10"/>
  <c r="L72" i="10"/>
  <c r="Q270" i="1"/>
  <c r="C279" i="1"/>
  <c r="C278" i="1"/>
  <c r="D464" i="1"/>
  <c r="O194" i="11"/>
  <c r="E200" i="11"/>
  <c r="C198" i="11"/>
  <c r="N147" i="21"/>
  <c r="N148" i="21"/>
  <c r="E154" i="21"/>
  <c r="E140" i="21"/>
  <c r="F271" i="1"/>
  <c r="F273" i="1"/>
  <c r="D242" i="1"/>
  <c r="F324" i="1"/>
  <c r="J77" i="10"/>
  <c r="K83" i="10"/>
  <c r="J84" i="10"/>
  <c r="D325" i="1"/>
  <c r="F354" i="1"/>
  <c r="K147" i="21"/>
  <c r="J148" i="21"/>
  <c r="H147" i="21"/>
  <c r="I147" i="21"/>
  <c r="I148" i="21"/>
  <c r="D260" i="11"/>
  <c r="F281" i="11"/>
  <c r="G259" i="11"/>
  <c r="F261" i="11"/>
  <c r="D240" i="11"/>
  <c r="E273" i="1"/>
  <c r="G240" i="11"/>
  <c r="D261" i="11"/>
  <c r="D259" i="11"/>
  <c r="G239" i="11"/>
  <c r="F237" i="1"/>
  <c r="D238" i="1"/>
  <c r="G266" i="1"/>
  <c r="O205" i="3"/>
  <c r="O204" i="3"/>
  <c r="I321" i="11"/>
  <c r="C321" i="11"/>
  <c r="H338" i="11"/>
  <c r="D264" i="1"/>
  <c r="H62" i="4"/>
  <c r="J62" i="4"/>
  <c r="I62" i="4"/>
  <c r="K62" i="4"/>
  <c r="G264" i="1"/>
  <c r="I290" i="1"/>
  <c r="M291" i="1"/>
  <c r="M322" i="1"/>
  <c r="K291" i="1"/>
  <c r="D274" i="1"/>
  <c r="F303" i="1"/>
  <c r="A155" i="21"/>
  <c r="M153" i="21"/>
  <c r="M154" i="21"/>
  <c r="I153" i="21"/>
  <c r="H86" i="10"/>
  <c r="J86" i="10"/>
  <c r="K84" i="10"/>
  <c r="I86" i="10"/>
  <c r="E354" i="1"/>
  <c r="E325" i="1"/>
  <c r="O155" i="3"/>
  <c r="O156" i="3"/>
  <c r="K155" i="3"/>
  <c r="F243" i="1"/>
  <c r="I243" i="1"/>
  <c r="C254" i="1"/>
  <c r="I242" i="1"/>
  <c r="C253" i="1"/>
  <c r="M139" i="21"/>
  <c r="M140" i="21"/>
  <c r="I139" i="21"/>
  <c r="I140" i="21"/>
  <c r="J147" i="21"/>
  <c r="H148" i="21"/>
  <c r="K79" i="10"/>
  <c r="L79" i="10"/>
  <c r="B87" i="10"/>
  <c r="E265" i="1"/>
  <c r="E294" i="1"/>
  <c r="O133" i="3"/>
  <c r="O134" i="3"/>
  <c r="K133" i="3"/>
  <c r="G273" i="1"/>
  <c r="I189" i="11"/>
  <c r="K190" i="11"/>
  <c r="M190" i="11"/>
  <c r="F325" i="1"/>
  <c r="G354" i="1"/>
  <c r="G356" i="1"/>
  <c r="N236" i="11"/>
  <c r="D237" i="1"/>
  <c r="F266" i="1"/>
  <c r="F268" i="1"/>
  <c r="D273" i="1"/>
  <c r="G237" i="1"/>
  <c r="E238" i="1"/>
  <c r="D266" i="1"/>
  <c r="D496" i="1"/>
  <c r="I209" i="11"/>
  <c r="K210" i="11"/>
  <c r="M210" i="11"/>
  <c r="C280" i="1"/>
  <c r="Q302" i="1"/>
  <c r="C311" i="1"/>
  <c r="N302" i="1"/>
  <c r="D265" i="1"/>
  <c r="F294" i="1"/>
  <c r="N216" i="11"/>
  <c r="I227" i="11"/>
  <c r="O226" i="3"/>
  <c r="O227" i="3"/>
  <c r="I83" i="4"/>
  <c r="K83" i="4"/>
  <c r="H83" i="4"/>
  <c r="J83" i="4"/>
  <c r="E259" i="11"/>
  <c r="E239" i="11"/>
  <c r="K62" i="10"/>
  <c r="B65" i="10"/>
  <c r="I64" i="10"/>
  <c r="H64" i="10"/>
  <c r="M64" i="10"/>
  <c r="J64" i="10"/>
  <c r="L57" i="10"/>
  <c r="K57" i="10"/>
  <c r="M57" i="10"/>
  <c r="K84" i="4"/>
  <c r="I86" i="4"/>
  <c r="H86" i="4"/>
  <c r="J86" i="4"/>
  <c r="H90" i="4"/>
  <c r="I210" i="11"/>
  <c r="K233" i="11"/>
  <c r="K218" i="11"/>
  <c r="N218" i="11"/>
  <c r="C224" i="11"/>
  <c r="D269" i="1"/>
  <c r="F298" i="1"/>
  <c r="K64" i="10"/>
  <c r="L64" i="10"/>
  <c r="E240" i="11"/>
  <c r="E261" i="11"/>
  <c r="H84" i="4"/>
  <c r="J90" i="4"/>
  <c r="J84" i="4"/>
  <c r="K90" i="4"/>
  <c r="K226" i="3"/>
  <c r="M233" i="11"/>
  <c r="O218" i="11"/>
  <c r="E224" i="11"/>
  <c r="M218" i="11"/>
  <c r="D268" i="1"/>
  <c r="G274" i="1"/>
  <c r="E275" i="1"/>
  <c r="D303" i="1"/>
  <c r="I237" i="1"/>
  <c r="C251" i="1"/>
  <c r="F238" i="1"/>
  <c r="F357" i="1"/>
  <c r="G386" i="1"/>
  <c r="M213" i="11"/>
  <c r="M195" i="11"/>
  <c r="O195" i="11"/>
  <c r="K200" i="11"/>
  <c r="F274" i="1"/>
  <c r="D275" i="1"/>
  <c r="G303" i="1"/>
  <c r="F305" i="1"/>
  <c r="H133" i="3"/>
  <c r="J133" i="3"/>
  <c r="I133" i="3"/>
  <c r="H139" i="21"/>
  <c r="J139" i="21"/>
  <c r="H140" i="21"/>
  <c r="K139" i="21"/>
  <c r="J140" i="21"/>
  <c r="H155" i="3"/>
  <c r="I155" i="3"/>
  <c r="J155" i="3"/>
  <c r="E356" i="1"/>
  <c r="M86" i="10"/>
  <c r="K153" i="21"/>
  <c r="H153" i="21"/>
  <c r="J153" i="21"/>
  <c r="I291" i="1"/>
  <c r="K322" i="1"/>
  <c r="F265" i="1"/>
  <c r="I265" i="1"/>
  <c r="C282" i="1"/>
  <c r="G294" i="1"/>
  <c r="J63" i="4"/>
  <c r="K69" i="4"/>
  <c r="H63" i="4"/>
  <c r="J69" i="4"/>
  <c r="G265" i="1"/>
  <c r="D294" i="1"/>
  <c r="D296" i="1"/>
  <c r="H204" i="3"/>
  <c r="I204" i="3"/>
  <c r="J204" i="3"/>
  <c r="G268" i="1"/>
  <c r="F240" i="11"/>
  <c r="N240" i="11"/>
  <c r="I251" i="11"/>
  <c r="G261" i="11"/>
  <c r="G263" i="11"/>
  <c r="D263" i="11"/>
  <c r="E274" i="1"/>
  <c r="G275" i="1"/>
  <c r="E303" i="1"/>
  <c r="E305" i="1"/>
  <c r="F263" i="11"/>
  <c r="P302" i="1"/>
  <c r="I150" i="21"/>
  <c r="K148" i="21"/>
  <c r="H150" i="21"/>
  <c r="M150" i="21"/>
  <c r="J150" i="21"/>
  <c r="F356" i="1"/>
  <c r="E281" i="11"/>
  <c r="E260" i="11"/>
  <c r="I84" i="4"/>
  <c r="I90" i="4"/>
  <c r="H226" i="3"/>
  <c r="I226" i="3"/>
  <c r="J226" i="3"/>
  <c r="F296" i="1"/>
  <c r="C312" i="1"/>
  <c r="I190" i="11"/>
  <c r="K213" i="11"/>
  <c r="N195" i="11"/>
  <c r="I200" i="11"/>
  <c r="I198" i="11"/>
  <c r="K195" i="11"/>
  <c r="J134" i="3"/>
  <c r="K140" i="3"/>
  <c r="E296" i="1"/>
  <c r="J156" i="3"/>
  <c r="K162" i="3"/>
  <c r="L86" i="10"/>
  <c r="K86" i="10"/>
  <c r="I274" i="1"/>
  <c r="C285" i="1"/>
  <c r="F275" i="1"/>
  <c r="D356" i="1"/>
  <c r="E268" i="1"/>
  <c r="I63" i="4"/>
  <c r="I69" i="4"/>
  <c r="H65" i="4"/>
  <c r="J65" i="4"/>
  <c r="K63" i="4"/>
  <c r="I65" i="4"/>
  <c r="H69" i="4"/>
  <c r="I345" i="11"/>
  <c r="C345" i="11"/>
  <c r="H362" i="11"/>
  <c r="K204" i="3"/>
  <c r="I238" i="1"/>
  <c r="C252" i="1"/>
  <c r="G260" i="11"/>
  <c r="D281" i="11"/>
  <c r="I240" i="11"/>
  <c r="R302" i="1"/>
  <c r="E311" i="1"/>
  <c r="C310" i="1"/>
  <c r="F260" i="11"/>
  <c r="N260" i="11"/>
  <c r="G281" i="11"/>
  <c r="G283" i="11"/>
  <c r="I260" i="11"/>
  <c r="C275" i="11"/>
  <c r="I325" i="1"/>
  <c r="C345" i="1"/>
  <c r="D306" i="1"/>
  <c r="F335" i="1"/>
  <c r="D283" i="11"/>
  <c r="J205" i="3"/>
  <c r="K211" i="3"/>
  <c r="H72" i="4"/>
  <c r="J72" i="4"/>
  <c r="K70" i="4"/>
  <c r="I72" i="4"/>
  <c r="H76" i="4"/>
  <c r="M65" i="4"/>
  <c r="G357" i="1"/>
  <c r="D386" i="1"/>
  <c r="J141" i="3"/>
  <c r="I202" i="11"/>
  <c r="I213" i="11"/>
  <c r="K214" i="11"/>
  <c r="M214" i="11"/>
  <c r="M237" i="11"/>
  <c r="H227" i="3"/>
  <c r="J233" i="3"/>
  <c r="K227" i="3"/>
  <c r="H229" i="3"/>
  <c r="M229" i="3"/>
  <c r="J229" i="3"/>
  <c r="I229" i="3"/>
  <c r="H233" i="3"/>
  <c r="E283" i="11"/>
  <c r="F283" i="11"/>
  <c r="D264" i="11"/>
  <c r="F285" i="11"/>
  <c r="F264" i="11"/>
  <c r="G285" i="11"/>
  <c r="F269" i="1"/>
  <c r="D270" i="1"/>
  <c r="G298" i="1"/>
  <c r="I205" i="3"/>
  <c r="I211" i="3"/>
  <c r="G297" i="1"/>
  <c r="D326" i="1"/>
  <c r="H70" i="4"/>
  <c r="J76" i="4"/>
  <c r="H77" i="4"/>
  <c r="J70" i="4"/>
  <c r="K76" i="4"/>
  <c r="J77" i="4"/>
  <c r="G296" i="1"/>
  <c r="I322" i="1"/>
  <c r="M323" i="1"/>
  <c r="M354" i="1"/>
  <c r="K323" i="1"/>
  <c r="I154" i="21"/>
  <c r="I155" i="21"/>
  <c r="K154" i="21"/>
  <c r="J155" i="21"/>
  <c r="H154" i="21"/>
  <c r="J154" i="21"/>
  <c r="H155" i="21"/>
  <c r="H156" i="3"/>
  <c r="J162" i="3"/>
  <c r="K156" i="3"/>
  <c r="H158" i="3"/>
  <c r="J158" i="3"/>
  <c r="I158" i="3"/>
  <c r="H162" i="3"/>
  <c r="I134" i="3"/>
  <c r="I140" i="3"/>
  <c r="K134" i="3"/>
  <c r="H136" i="3"/>
  <c r="J136" i="3"/>
  <c r="I136" i="3"/>
  <c r="H140" i="3"/>
  <c r="I275" i="1"/>
  <c r="C286" i="1"/>
  <c r="M219" i="11"/>
  <c r="O219" i="11"/>
  <c r="K224" i="11"/>
  <c r="D305" i="1"/>
  <c r="G269" i="1"/>
  <c r="E270" i="1"/>
  <c r="D298" i="1"/>
  <c r="J227" i="3"/>
  <c r="K233" i="3"/>
  <c r="F270" i="1"/>
  <c r="I269" i="1"/>
  <c r="C283" i="1"/>
  <c r="C226" i="11"/>
  <c r="K86" i="4"/>
  <c r="L86" i="4"/>
  <c r="F284" i="11"/>
  <c r="G305" i="11"/>
  <c r="C369" i="11"/>
  <c r="H386" i="11"/>
  <c r="I369" i="11"/>
  <c r="L65" i="4"/>
  <c r="K65" i="4"/>
  <c r="I70" i="4"/>
  <c r="I76" i="4"/>
  <c r="I77" i="4"/>
  <c r="E269" i="1"/>
  <c r="G270" i="1"/>
  <c r="E298" i="1"/>
  <c r="E300" i="1"/>
  <c r="J163" i="3"/>
  <c r="K169" i="3"/>
  <c r="J170" i="3"/>
  <c r="E326" i="1"/>
  <c r="E297" i="1"/>
  <c r="D297" i="1"/>
  <c r="F326" i="1"/>
  <c r="I227" i="3"/>
  <c r="I233" i="3"/>
  <c r="I91" i="4"/>
  <c r="I97" i="4"/>
  <c r="I98" i="4"/>
  <c r="F386" i="1"/>
  <c r="D357" i="1"/>
  <c r="K150" i="21"/>
  <c r="L150" i="21"/>
  <c r="P334" i="1"/>
  <c r="R334" i="1"/>
  <c r="E343" i="1"/>
  <c r="E335" i="1"/>
  <c r="E306" i="1"/>
  <c r="G307" i="1"/>
  <c r="G264" i="11"/>
  <c r="D285" i="11"/>
  <c r="H205" i="3"/>
  <c r="J211" i="3"/>
  <c r="I207" i="3"/>
  <c r="K205" i="3"/>
  <c r="H207" i="3"/>
  <c r="J207" i="3"/>
  <c r="H211" i="3"/>
  <c r="E357" i="1"/>
  <c r="E386" i="1"/>
  <c r="E388" i="1"/>
  <c r="I156" i="3"/>
  <c r="I162" i="3"/>
  <c r="I142" i="21"/>
  <c r="K140" i="21"/>
  <c r="C144" i="21"/>
  <c r="H142" i="21"/>
  <c r="M142" i="21"/>
  <c r="J142" i="21"/>
  <c r="H134" i="3"/>
  <c r="J140" i="3"/>
  <c r="G305" i="1"/>
  <c r="O242" i="11"/>
  <c r="E248" i="11"/>
  <c r="J91" i="4"/>
  <c r="K97" i="4"/>
  <c r="J98" i="4"/>
  <c r="H91" i="4"/>
  <c r="J97" i="4"/>
  <c r="H98" i="4"/>
  <c r="E263" i="11"/>
  <c r="F300" i="1"/>
  <c r="C222" i="11"/>
  <c r="I233" i="11"/>
  <c r="M234" i="11"/>
  <c r="M257" i="11"/>
  <c r="K234" i="11"/>
  <c r="K91" i="4"/>
  <c r="I93" i="4"/>
  <c r="H93" i="4"/>
  <c r="J93" i="4"/>
  <c r="H97" i="4"/>
  <c r="M86" i="4"/>
  <c r="F330" i="1"/>
  <c r="D301" i="1"/>
  <c r="J234" i="3"/>
  <c r="K240" i="3"/>
  <c r="J241" i="3"/>
  <c r="D300" i="1"/>
  <c r="G306" i="1"/>
  <c r="E307" i="1"/>
  <c r="D335" i="1"/>
  <c r="L136" i="3"/>
  <c r="K136" i="3"/>
  <c r="M136" i="3"/>
  <c r="I141" i="3"/>
  <c r="I147" i="3"/>
  <c r="I148" i="3"/>
  <c r="L158" i="3"/>
  <c r="K158" i="3"/>
  <c r="M158" i="3"/>
  <c r="H163" i="3"/>
  <c r="J169" i="3"/>
  <c r="H170" i="3"/>
  <c r="K354" i="1"/>
  <c r="I323" i="1"/>
  <c r="N334" i="1"/>
  <c r="Q334" i="1"/>
  <c r="C343" i="1"/>
  <c r="C342" i="1"/>
  <c r="I212" i="3"/>
  <c r="I218" i="3"/>
  <c r="I219" i="3"/>
  <c r="G300" i="1"/>
  <c r="F305" i="11"/>
  <c r="D284" i="11"/>
  <c r="H236" i="3"/>
  <c r="M236" i="3"/>
  <c r="J236" i="3"/>
  <c r="K234" i="3"/>
  <c r="I236" i="3"/>
  <c r="H240" i="3"/>
  <c r="I214" i="11"/>
  <c r="K237" i="11"/>
  <c r="N219" i="11"/>
  <c r="I224" i="11"/>
  <c r="I222" i="11"/>
  <c r="K219" i="11"/>
  <c r="I79" i="4"/>
  <c r="K77" i="4"/>
  <c r="M77" i="4"/>
  <c r="H79" i="4"/>
  <c r="J79" i="4"/>
  <c r="K131" i="4"/>
  <c r="K133" i="4"/>
  <c r="O133" i="4"/>
  <c r="M72" i="4"/>
  <c r="F337" i="1"/>
  <c r="K93" i="4"/>
  <c r="L93" i="4"/>
  <c r="I234" i="11"/>
  <c r="K257" i="11"/>
  <c r="F306" i="1"/>
  <c r="D307" i="1"/>
  <c r="G335" i="1"/>
  <c r="G337" i="1"/>
  <c r="K142" i="21"/>
  <c r="L142" i="21"/>
  <c r="H212" i="3"/>
  <c r="J218" i="3"/>
  <c r="H219" i="3"/>
  <c r="I357" i="1"/>
  <c r="C377" i="1"/>
  <c r="I234" i="3"/>
  <c r="I240" i="3"/>
  <c r="I241" i="3"/>
  <c r="E301" i="1"/>
  <c r="G302" i="1"/>
  <c r="E330" i="1"/>
  <c r="K98" i="4"/>
  <c r="M98" i="4"/>
  <c r="H100" i="4"/>
  <c r="J100" i="4"/>
  <c r="K140" i="4"/>
  <c r="K142" i="4"/>
  <c r="O142" i="4"/>
  <c r="I100" i="4"/>
  <c r="M93" i="4"/>
  <c r="E285" i="11"/>
  <c r="E287" i="11"/>
  <c r="E264" i="11"/>
  <c r="M242" i="11"/>
  <c r="H141" i="3"/>
  <c r="J147" i="3"/>
  <c r="H148" i="3"/>
  <c r="I163" i="3"/>
  <c r="I169" i="3"/>
  <c r="I170" i="3"/>
  <c r="E418" i="1"/>
  <c r="E389" i="1"/>
  <c r="K212" i="3"/>
  <c r="I214" i="3"/>
  <c r="H214" i="3"/>
  <c r="J214" i="3"/>
  <c r="H218" i="3"/>
  <c r="M207" i="3"/>
  <c r="K207" i="3"/>
  <c r="L207" i="3"/>
  <c r="E337" i="1"/>
  <c r="F388" i="1"/>
  <c r="I393" i="11"/>
  <c r="C393" i="11"/>
  <c r="N242" i="11"/>
  <c r="C248" i="11"/>
  <c r="C246" i="11"/>
  <c r="K242" i="11"/>
  <c r="G388" i="1"/>
  <c r="K141" i="3"/>
  <c r="I143" i="3"/>
  <c r="H143" i="3"/>
  <c r="J143" i="3"/>
  <c r="H147" i="3"/>
  <c r="K163" i="3"/>
  <c r="I165" i="3"/>
  <c r="H165" i="3"/>
  <c r="M165" i="3"/>
  <c r="J165" i="3"/>
  <c r="H169" i="3"/>
  <c r="K155" i="21"/>
  <c r="C159" i="21"/>
  <c r="I157" i="21"/>
  <c r="H157" i="21"/>
  <c r="J157" i="21"/>
  <c r="F297" i="1"/>
  <c r="I297" i="1"/>
  <c r="C314" i="1"/>
  <c r="G326" i="1"/>
  <c r="G328" i="1"/>
  <c r="I270" i="1"/>
  <c r="C284" i="1"/>
  <c r="N264" i="11"/>
  <c r="I275" i="11"/>
  <c r="I264" i="11"/>
  <c r="E284" i="11"/>
  <c r="E305" i="11"/>
  <c r="L229" i="3"/>
  <c r="K229" i="3"/>
  <c r="H234" i="3"/>
  <c r="J240" i="3"/>
  <c r="H241" i="3"/>
  <c r="K147" i="3"/>
  <c r="J148" i="3"/>
  <c r="D388" i="1"/>
  <c r="L72" i="4"/>
  <c r="K72" i="4"/>
  <c r="J212" i="3"/>
  <c r="K218" i="3"/>
  <c r="J219" i="3"/>
  <c r="G284" i="11"/>
  <c r="N284" i="11"/>
  <c r="D305" i="11"/>
  <c r="D307" i="11"/>
  <c r="I306" i="1"/>
  <c r="C317" i="1"/>
  <c r="F307" i="1"/>
  <c r="G308" i="11"/>
  <c r="D329" i="11"/>
  <c r="G389" i="1"/>
  <c r="D418" i="1"/>
  <c r="E307" i="11"/>
  <c r="M157" i="21"/>
  <c r="K165" i="3"/>
  <c r="L165" i="3"/>
  <c r="H150" i="3"/>
  <c r="M150" i="3"/>
  <c r="J150" i="3"/>
  <c r="K148" i="3"/>
  <c r="I150" i="3"/>
  <c r="M143" i="3"/>
  <c r="C250" i="11"/>
  <c r="G307" i="11"/>
  <c r="E338" i="1"/>
  <c r="G339" i="1"/>
  <c r="E367" i="1"/>
  <c r="H221" i="3"/>
  <c r="M221" i="3"/>
  <c r="J221" i="3"/>
  <c r="K219" i="3"/>
  <c r="I221" i="3"/>
  <c r="M214" i="3"/>
  <c r="F328" i="1"/>
  <c r="C222" i="3"/>
  <c r="F338" i="1"/>
  <c r="D339" i="1"/>
  <c r="G367" i="1"/>
  <c r="M79" i="4"/>
  <c r="J131" i="4"/>
  <c r="J133" i="4"/>
  <c r="M133" i="4"/>
  <c r="K79" i="4"/>
  <c r="L79" i="4"/>
  <c r="I131" i="4"/>
  <c r="I133" i="4"/>
  <c r="L236" i="3"/>
  <c r="K236" i="3"/>
  <c r="I284" i="11"/>
  <c r="C299" i="11"/>
  <c r="F287" i="11"/>
  <c r="F301" i="1"/>
  <c r="D302" i="1"/>
  <c r="G330" i="1"/>
  <c r="C344" i="1"/>
  <c r="I354" i="1"/>
  <c r="K355" i="1"/>
  <c r="Q366" i="1"/>
  <c r="C375" i="1"/>
  <c r="M355" i="1"/>
  <c r="D337" i="1"/>
  <c r="G301" i="1"/>
  <c r="E302" i="1"/>
  <c r="D330" i="1"/>
  <c r="D332" i="1"/>
  <c r="F302" i="1"/>
  <c r="F329" i="1"/>
  <c r="G358" i="1"/>
  <c r="K157" i="21"/>
  <c r="L157" i="21"/>
  <c r="H172" i="3"/>
  <c r="M172" i="3"/>
  <c r="J172" i="3"/>
  <c r="K170" i="3"/>
  <c r="C173" i="3"/>
  <c r="I172" i="3"/>
  <c r="K143" i="3"/>
  <c r="L143" i="3"/>
  <c r="F389" i="1"/>
  <c r="G418" i="1"/>
  <c r="E328" i="1"/>
  <c r="D389" i="1"/>
  <c r="F418" i="1"/>
  <c r="F420" i="1"/>
  <c r="K214" i="3"/>
  <c r="L214" i="3"/>
  <c r="C151" i="3"/>
  <c r="M266" i="11"/>
  <c r="E288" i="11"/>
  <c r="E309" i="11"/>
  <c r="L100" i="4"/>
  <c r="I140" i="4"/>
  <c r="I142" i="4"/>
  <c r="N142" i="4"/>
  <c r="K100" i="4"/>
  <c r="M100" i="4"/>
  <c r="J140" i="4"/>
  <c r="J142" i="4"/>
  <c r="M142" i="4"/>
  <c r="I307" i="1"/>
  <c r="C318" i="1"/>
  <c r="I257" i="11"/>
  <c r="M258" i="11"/>
  <c r="M281" i="11"/>
  <c r="K258" i="11"/>
  <c r="N266" i="11"/>
  <c r="C272" i="11"/>
  <c r="F367" i="1"/>
  <c r="D338" i="1"/>
  <c r="I226" i="11"/>
  <c r="K243" i="11"/>
  <c r="I237" i="11"/>
  <c r="M238" i="11"/>
  <c r="K238" i="11"/>
  <c r="K241" i="3"/>
  <c r="C244" i="3"/>
  <c r="I243" i="3"/>
  <c r="H243" i="3"/>
  <c r="M243" i="3"/>
  <c r="J243" i="3"/>
  <c r="F307" i="11"/>
  <c r="G287" i="11"/>
  <c r="D328" i="1"/>
  <c r="D287" i="11"/>
  <c r="F332" i="1"/>
  <c r="C270" i="11"/>
  <c r="G329" i="1"/>
  <c r="D358" i="1"/>
  <c r="M261" i="11"/>
  <c r="O243" i="11"/>
  <c r="K248" i="11"/>
  <c r="M243" i="11"/>
  <c r="I250" i="11"/>
  <c r="O266" i="11"/>
  <c r="E272" i="11"/>
  <c r="I389" i="1"/>
  <c r="C409" i="1"/>
  <c r="G420" i="1"/>
  <c r="L172" i="3"/>
  <c r="K172" i="3"/>
  <c r="I301" i="1"/>
  <c r="C315" i="1"/>
  <c r="G333" i="1"/>
  <c r="E334" i="1"/>
  <c r="D362" i="1"/>
  <c r="G338" i="1"/>
  <c r="E339" i="1"/>
  <c r="I339" i="1"/>
  <c r="C350" i="1"/>
  <c r="D367" i="1"/>
  <c r="D369" i="1"/>
  <c r="M386" i="1"/>
  <c r="P366" i="1"/>
  <c r="R366" i="1"/>
  <c r="E375" i="1"/>
  <c r="C374" i="1"/>
  <c r="G332" i="1"/>
  <c r="F309" i="11"/>
  <c r="F311" i="11"/>
  <c r="D288" i="11"/>
  <c r="N133" i="4"/>
  <c r="M134" i="4"/>
  <c r="K134" i="4"/>
  <c r="H134" i="4"/>
  <c r="I134" i="4"/>
  <c r="J134" i="4"/>
  <c r="F358" i="1"/>
  <c r="D329" i="1"/>
  <c r="E420" i="1"/>
  <c r="L221" i="3"/>
  <c r="K221" i="3"/>
  <c r="E369" i="1"/>
  <c r="F308" i="11"/>
  <c r="G329" i="11"/>
  <c r="E329" i="11"/>
  <c r="E331" i="11"/>
  <c r="E308" i="11"/>
  <c r="D420" i="1"/>
  <c r="D333" i="1"/>
  <c r="F362" i="1"/>
  <c r="D308" i="11"/>
  <c r="I308" i="11"/>
  <c r="C323" i="11"/>
  <c r="F329" i="11"/>
  <c r="G288" i="11"/>
  <c r="D309" i="11"/>
  <c r="F288" i="11"/>
  <c r="N288" i="11"/>
  <c r="I299" i="11"/>
  <c r="G309" i="11"/>
  <c r="K243" i="3"/>
  <c r="L243" i="3"/>
  <c r="I238" i="11"/>
  <c r="K261" i="11"/>
  <c r="N243" i="11"/>
  <c r="I248" i="11"/>
  <c r="I246" i="11"/>
  <c r="F339" i="1"/>
  <c r="I338" i="1"/>
  <c r="C349" i="1"/>
  <c r="I258" i="11"/>
  <c r="K281" i="11"/>
  <c r="F450" i="1"/>
  <c r="D421" i="1"/>
  <c r="E329" i="1"/>
  <c r="E358" i="1"/>
  <c r="E360" i="1"/>
  <c r="I355" i="1"/>
  <c r="K386" i="1"/>
  <c r="N366" i="1"/>
  <c r="I302" i="1"/>
  <c r="C316" i="1"/>
  <c r="O134" i="4"/>
  <c r="P134" i="4"/>
  <c r="G369" i="1"/>
  <c r="E332" i="1"/>
  <c r="K266" i="11"/>
  <c r="L150" i="3"/>
  <c r="K150" i="3"/>
  <c r="E362" i="1"/>
  <c r="E333" i="1"/>
  <c r="G334" i="1"/>
  <c r="G421" i="1"/>
  <c r="D450" i="1"/>
  <c r="H135" i="4"/>
  <c r="M140" i="4"/>
  <c r="J143" i="4"/>
  <c r="I386" i="1"/>
  <c r="K387" i="1"/>
  <c r="M387" i="1"/>
  <c r="M418" i="1"/>
  <c r="E390" i="1"/>
  <c r="E361" i="1"/>
  <c r="I281" i="11"/>
  <c r="M282" i="11"/>
  <c r="K282" i="11"/>
  <c r="F334" i="1"/>
  <c r="E353" i="11"/>
  <c r="E332" i="11"/>
  <c r="N308" i="11"/>
  <c r="E421" i="1"/>
  <c r="I421" i="1"/>
  <c r="C441" i="1"/>
  <c r="E450" i="1"/>
  <c r="F360" i="1"/>
  <c r="K135" i="4"/>
  <c r="H137" i="4"/>
  <c r="J137" i="4"/>
  <c r="P140" i="4"/>
  <c r="I137" i="4"/>
  <c r="H143" i="4"/>
  <c r="D312" i="11"/>
  <c r="F333" i="11"/>
  <c r="G360" i="1"/>
  <c r="E311" i="11"/>
  <c r="D360" i="1"/>
  <c r="K290" i="11"/>
  <c r="C274" i="11"/>
  <c r="N290" i="11"/>
  <c r="C296" i="11"/>
  <c r="F370" i="1"/>
  <c r="D371" i="1"/>
  <c r="G399" i="1"/>
  <c r="N134" i="4"/>
  <c r="N398" i="1"/>
  <c r="C376" i="1"/>
  <c r="Q398" i="1"/>
  <c r="C407" i="1"/>
  <c r="I261" i="11"/>
  <c r="K262" i="11"/>
  <c r="M262" i="11"/>
  <c r="M285" i="11"/>
  <c r="G311" i="11"/>
  <c r="D311" i="11"/>
  <c r="F331" i="11"/>
  <c r="D331" i="11"/>
  <c r="G331" i="11"/>
  <c r="E399" i="1"/>
  <c r="E370" i="1"/>
  <c r="G371" i="1"/>
  <c r="I329" i="1"/>
  <c r="C346" i="1"/>
  <c r="I135" i="4"/>
  <c r="N140" i="4"/>
  <c r="I143" i="4"/>
  <c r="K143" i="4"/>
  <c r="J135" i="4"/>
  <c r="O140" i="4"/>
  <c r="N143" i="4"/>
  <c r="I288" i="11"/>
  <c r="F333" i="1"/>
  <c r="D334" i="1"/>
  <c r="I334" i="1"/>
  <c r="C348" i="1"/>
  <c r="G362" i="1"/>
  <c r="G364" i="1"/>
  <c r="P398" i="1"/>
  <c r="R398" i="1"/>
  <c r="E407" i="1"/>
  <c r="G370" i="1"/>
  <c r="E371" i="1"/>
  <c r="D399" i="1"/>
  <c r="D364" i="1"/>
  <c r="F421" i="1"/>
  <c r="G450" i="1"/>
  <c r="G452" i="1"/>
  <c r="F369" i="1"/>
  <c r="M267" i="11"/>
  <c r="O267" i="11"/>
  <c r="K272" i="11"/>
  <c r="G41" i="1"/>
  <c r="G37" i="11"/>
  <c r="K42" i="6"/>
  <c r="K43" i="6"/>
  <c r="J44" i="6"/>
  <c r="H66" i="6"/>
  <c r="J144" i="4"/>
  <c r="O143" i="4"/>
  <c r="D370" i="1"/>
  <c r="F399" i="1"/>
  <c r="F401" i="1"/>
  <c r="D401" i="1"/>
  <c r="F365" i="1"/>
  <c r="D366" i="1"/>
  <c r="G394" i="1"/>
  <c r="E41" i="1"/>
  <c r="E37" i="11"/>
  <c r="I42" i="6"/>
  <c r="I43" i="6"/>
  <c r="I44" i="6"/>
  <c r="K66" i="6"/>
  <c r="I144" i="4"/>
  <c r="F332" i="11"/>
  <c r="G353" i="11"/>
  <c r="F364" i="1"/>
  <c r="G312" i="11"/>
  <c r="I312" i="11"/>
  <c r="D333" i="11"/>
  <c r="C406" i="1"/>
  <c r="C408" i="1"/>
  <c r="G401" i="1"/>
  <c r="E312" i="11"/>
  <c r="E333" i="11"/>
  <c r="D41" i="1"/>
  <c r="D37" i="11"/>
  <c r="I146" i="4"/>
  <c r="H42" i="6"/>
  <c r="H43" i="6"/>
  <c r="K144" i="4"/>
  <c r="H146" i="4"/>
  <c r="J146" i="4"/>
  <c r="M143" i="4"/>
  <c r="M137" i="4"/>
  <c r="D361" i="1"/>
  <c r="F390" i="1"/>
  <c r="I282" i="11"/>
  <c r="K305" i="11"/>
  <c r="P143" i="4"/>
  <c r="D452" i="1"/>
  <c r="F453" i="1"/>
  <c r="G482" i="1"/>
  <c r="G365" i="1"/>
  <c r="E366" i="1"/>
  <c r="D394" i="1"/>
  <c r="G332" i="11"/>
  <c r="D353" i="11"/>
  <c r="D332" i="11"/>
  <c r="I332" i="11"/>
  <c r="C347" i="11"/>
  <c r="F353" i="11"/>
  <c r="F355" i="11"/>
  <c r="F312" i="11"/>
  <c r="G333" i="11"/>
  <c r="G335" i="11"/>
  <c r="I262" i="11"/>
  <c r="K285" i="11"/>
  <c r="K267" i="11"/>
  <c r="N267" i="11"/>
  <c r="I272" i="11"/>
  <c r="I270" i="11"/>
  <c r="F452" i="1"/>
  <c r="G361" i="1"/>
  <c r="D390" i="1"/>
  <c r="F361" i="1"/>
  <c r="G390" i="1"/>
  <c r="G392" i="1"/>
  <c r="L137" i="4"/>
  <c r="K137" i="4"/>
  <c r="E452" i="1"/>
  <c r="I333" i="1"/>
  <c r="C347" i="1"/>
  <c r="M305" i="11"/>
  <c r="M290" i="11"/>
  <c r="O290" i="11"/>
  <c r="E296" i="11"/>
  <c r="C294" i="11"/>
  <c r="E392" i="1"/>
  <c r="K418" i="1"/>
  <c r="I387" i="1"/>
  <c r="F41" i="1"/>
  <c r="F37" i="11"/>
  <c r="J42" i="6"/>
  <c r="J43" i="6"/>
  <c r="H44" i="6"/>
  <c r="H144" i="4"/>
  <c r="M144" i="4"/>
  <c r="C148" i="4"/>
  <c r="M135" i="4"/>
  <c r="E364" i="1"/>
  <c r="E365" i="1"/>
  <c r="G366" i="1"/>
  <c r="E394" i="1"/>
  <c r="E393" i="1"/>
  <c r="E422" i="1"/>
  <c r="E482" i="1"/>
  <c r="E453" i="1"/>
  <c r="F393" i="1"/>
  <c r="G422" i="1"/>
  <c r="D392" i="1"/>
  <c r="I285" i="11"/>
  <c r="K286" i="11"/>
  <c r="M286" i="11"/>
  <c r="F336" i="11"/>
  <c r="G357" i="11"/>
  <c r="F377" i="11"/>
  <c r="D356" i="11"/>
  <c r="D355" i="11"/>
  <c r="G453" i="1"/>
  <c r="D482" i="1"/>
  <c r="D484" i="1"/>
  <c r="G485" i="1"/>
  <c r="I305" i="11"/>
  <c r="M306" i="11"/>
  <c r="M329" i="11"/>
  <c r="K306" i="11"/>
  <c r="F392" i="1"/>
  <c r="K146" i="4"/>
  <c r="L146" i="4"/>
  <c r="E335" i="11"/>
  <c r="C298" i="11"/>
  <c r="F402" i="1"/>
  <c r="D403" i="1"/>
  <c r="G431" i="1"/>
  <c r="G355" i="11"/>
  <c r="G402" i="1"/>
  <c r="E403" i="1"/>
  <c r="D431" i="1"/>
  <c r="I370" i="1"/>
  <c r="C381" i="1"/>
  <c r="F371" i="1"/>
  <c r="I371" i="1"/>
  <c r="C382" i="1"/>
  <c r="H45" i="6"/>
  <c r="I129" i="6"/>
  <c r="J66" i="6"/>
  <c r="I418" i="1"/>
  <c r="M419" i="1"/>
  <c r="K419" i="1"/>
  <c r="E355" i="11"/>
  <c r="D453" i="1"/>
  <c r="I453" i="1"/>
  <c r="C473" i="1"/>
  <c r="F482" i="1"/>
  <c r="I274" i="11"/>
  <c r="K291" i="11"/>
  <c r="N312" i="11"/>
  <c r="I323" i="11"/>
  <c r="I361" i="1"/>
  <c r="C378" i="1"/>
  <c r="M146" i="4"/>
  <c r="M43" i="6"/>
  <c r="K44" i="6"/>
  <c r="I66" i="6"/>
  <c r="M66" i="6"/>
  <c r="C134" i="6"/>
  <c r="C149" i="6"/>
  <c r="C164" i="6"/>
  <c r="C179" i="6"/>
  <c r="C194" i="6"/>
  <c r="C209" i="6"/>
  <c r="C224" i="6"/>
  <c r="C239" i="6"/>
  <c r="C254" i="6"/>
  <c r="C269" i="6"/>
  <c r="C284" i="6"/>
  <c r="C299" i="6"/>
  <c r="N43" i="6"/>
  <c r="J90" i="6"/>
  <c r="L144" i="6"/>
  <c r="L43" i="6"/>
  <c r="F335" i="11"/>
  <c r="D335" i="11"/>
  <c r="F394" i="1"/>
  <c r="F396" i="1"/>
  <c r="D365" i="1"/>
  <c r="N332" i="11"/>
  <c r="F431" i="1"/>
  <c r="D402" i="1"/>
  <c r="E401" i="1"/>
  <c r="E402" i="1"/>
  <c r="G403" i="1"/>
  <c r="E431" i="1"/>
  <c r="E433" i="1"/>
  <c r="F433" i="1"/>
  <c r="D397" i="1"/>
  <c r="F426" i="1"/>
  <c r="D336" i="11"/>
  <c r="F357" i="11"/>
  <c r="L159" i="6"/>
  <c r="L174" i="6"/>
  <c r="L189" i="6"/>
  <c r="L204" i="6"/>
  <c r="L219" i="6"/>
  <c r="L234" i="6"/>
  <c r="L249" i="6"/>
  <c r="L264" i="6"/>
  <c r="L279" i="6"/>
  <c r="L294" i="6"/>
  <c r="Q144" i="6"/>
  <c r="E145" i="6"/>
  <c r="O144" i="6"/>
  <c r="O43" i="6"/>
  <c r="H129" i="6"/>
  <c r="P43" i="6"/>
  <c r="I90" i="6"/>
  <c r="K144" i="6"/>
  <c r="I419" i="1"/>
  <c r="K450" i="1"/>
  <c r="N430" i="1"/>
  <c r="Q430" i="1"/>
  <c r="C439" i="1"/>
  <c r="C133" i="6"/>
  <c r="I144" i="6"/>
  <c r="D433" i="1"/>
  <c r="G396" i="1"/>
  <c r="G433" i="1"/>
  <c r="F422" i="1"/>
  <c r="D393" i="1"/>
  <c r="G484" i="1"/>
  <c r="F485" i="1"/>
  <c r="G356" i="11"/>
  <c r="D377" i="11"/>
  <c r="I286" i="11"/>
  <c r="K309" i="11"/>
  <c r="G393" i="1"/>
  <c r="D422" i="1"/>
  <c r="D424" i="1"/>
  <c r="E484" i="1"/>
  <c r="E485" i="1"/>
  <c r="M314" i="11"/>
  <c r="F403" i="1"/>
  <c r="I403" i="1"/>
  <c r="C414" i="1"/>
  <c r="F366" i="1"/>
  <c r="I366" i="1"/>
  <c r="C380" i="1"/>
  <c r="I365" i="1"/>
  <c r="C379" i="1"/>
  <c r="G336" i="11"/>
  <c r="N336" i="11"/>
  <c r="I347" i="11"/>
  <c r="D357" i="11"/>
  <c r="Q43" i="6"/>
  <c r="H90" i="6"/>
  <c r="J144" i="6"/>
  <c r="N291" i="11"/>
  <c r="I296" i="11"/>
  <c r="I294" i="11"/>
  <c r="F484" i="1"/>
  <c r="D485" i="1"/>
  <c r="E356" i="11"/>
  <c r="I356" i="11"/>
  <c r="C371" i="11"/>
  <c r="E377" i="11"/>
  <c r="M450" i="1"/>
  <c r="P430" i="1"/>
  <c r="R430" i="1"/>
  <c r="E439" i="1"/>
  <c r="F356" i="11"/>
  <c r="G377" i="11"/>
  <c r="G379" i="11"/>
  <c r="F380" i="11"/>
  <c r="E357" i="11"/>
  <c r="E359" i="11"/>
  <c r="E336" i="11"/>
  <c r="I306" i="11"/>
  <c r="K329" i="11"/>
  <c r="N314" i="11"/>
  <c r="C320" i="11"/>
  <c r="C318" i="11"/>
  <c r="K314" i="11"/>
  <c r="D396" i="1"/>
  <c r="G359" i="11"/>
  <c r="M309" i="11"/>
  <c r="M291" i="11"/>
  <c r="O291" i="11"/>
  <c r="K296" i="11"/>
  <c r="G424" i="1"/>
  <c r="O314" i="11"/>
  <c r="E320" i="11"/>
  <c r="E424" i="1"/>
  <c r="E396" i="1"/>
  <c r="E454" i="1"/>
  <c r="E425" i="1"/>
  <c r="F425" i="1"/>
  <c r="G454" i="1"/>
  <c r="F360" i="11"/>
  <c r="G381" i="11"/>
  <c r="G397" i="1"/>
  <c r="E398" i="1"/>
  <c r="D426" i="1"/>
  <c r="E360" i="11"/>
  <c r="E381" i="11"/>
  <c r="E74" i="6"/>
  <c r="E69" i="6"/>
  <c r="E49" i="6"/>
  <c r="F379" i="11"/>
  <c r="D380" i="11"/>
  <c r="I380" i="11"/>
  <c r="C395" i="11"/>
  <c r="I393" i="1"/>
  <c r="C410" i="1"/>
  <c r="F434" i="1"/>
  <c r="D435" i="1"/>
  <c r="G463" i="1"/>
  <c r="G434" i="1"/>
  <c r="E435" i="1"/>
  <c r="D463" i="1"/>
  <c r="C440" i="1"/>
  <c r="I298" i="11"/>
  <c r="K159" i="6"/>
  <c r="K174" i="6"/>
  <c r="K189" i="6"/>
  <c r="K204" i="6"/>
  <c r="K219" i="6"/>
  <c r="K234" i="6"/>
  <c r="K249" i="6"/>
  <c r="K264" i="6"/>
  <c r="K279" i="6"/>
  <c r="K294" i="6"/>
  <c r="N144" i="6"/>
  <c r="H144" i="6"/>
  <c r="C131" i="6"/>
  <c r="F359" i="11"/>
  <c r="D434" i="1"/>
  <c r="F463" i="1"/>
  <c r="E426" i="1"/>
  <c r="E397" i="1"/>
  <c r="G398" i="1"/>
  <c r="C322" i="11"/>
  <c r="I329" i="11"/>
  <c r="K330" i="11"/>
  <c r="M330" i="11"/>
  <c r="M353" i="11"/>
  <c r="N356" i="11"/>
  <c r="R462" i="1"/>
  <c r="E471" i="1"/>
  <c r="E379" i="11"/>
  <c r="E380" i="11"/>
  <c r="I485" i="1"/>
  <c r="C505" i="1"/>
  <c r="J159" i="6"/>
  <c r="J174" i="6"/>
  <c r="J189" i="6"/>
  <c r="J204" i="6"/>
  <c r="J219" i="6"/>
  <c r="J234" i="6"/>
  <c r="J249" i="6"/>
  <c r="J264" i="6"/>
  <c r="J279" i="6"/>
  <c r="J294" i="6"/>
  <c r="M144" i="6"/>
  <c r="P144" i="6"/>
  <c r="C145" i="6"/>
  <c r="C144" i="6"/>
  <c r="D359" i="11"/>
  <c r="I402" i="1"/>
  <c r="C413" i="1"/>
  <c r="O338" i="11"/>
  <c r="E344" i="11"/>
  <c r="M338" i="11"/>
  <c r="G425" i="1"/>
  <c r="D454" i="1"/>
  <c r="I309" i="11"/>
  <c r="K310" i="11"/>
  <c r="M310" i="11"/>
  <c r="M333" i="11"/>
  <c r="D379" i="11"/>
  <c r="G380" i="11"/>
  <c r="F424" i="1"/>
  <c r="F397" i="1"/>
  <c r="D398" i="1"/>
  <c r="G426" i="1"/>
  <c r="G428" i="1"/>
  <c r="C148" i="6"/>
  <c r="I159" i="6"/>
  <c r="C438" i="1"/>
  <c r="I450" i="1"/>
  <c r="M451" i="1"/>
  <c r="M482" i="1"/>
  <c r="K451" i="1"/>
  <c r="E61" i="6"/>
  <c r="E55" i="6"/>
  <c r="O159" i="6"/>
  <c r="Q159" i="6"/>
  <c r="E160" i="6"/>
  <c r="I336" i="11"/>
  <c r="I397" i="1"/>
  <c r="C411" i="1"/>
  <c r="F398" i="1"/>
  <c r="E463" i="1"/>
  <c r="E465" i="1"/>
  <c r="E434" i="1"/>
  <c r="G435" i="1"/>
  <c r="E466" i="1"/>
  <c r="G467" i="1"/>
  <c r="E495" i="1"/>
  <c r="N56" i="6"/>
  <c r="J55" i="6"/>
  <c r="N55" i="6"/>
  <c r="K482" i="1"/>
  <c r="I451" i="1"/>
  <c r="I174" i="6"/>
  <c r="C163" i="6"/>
  <c r="F429" i="1"/>
  <c r="D430" i="1"/>
  <c r="G458" i="1"/>
  <c r="D425" i="1"/>
  <c r="I425" i="1"/>
  <c r="C442" i="1"/>
  <c r="F454" i="1"/>
  <c r="F456" i="1"/>
  <c r="G360" i="11"/>
  <c r="N360" i="11"/>
  <c r="I371" i="11"/>
  <c r="D381" i="11"/>
  <c r="M159" i="6"/>
  <c r="P159" i="6"/>
  <c r="C160" i="6"/>
  <c r="C159" i="6"/>
  <c r="C147" i="6"/>
  <c r="I330" i="11"/>
  <c r="K353" i="11"/>
  <c r="K338" i="11"/>
  <c r="E428" i="1"/>
  <c r="I434" i="1"/>
  <c r="C445" i="1"/>
  <c r="F435" i="1"/>
  <c r="I435" i="1"/>
  <c r="C446" i="1"/>
  <c r="F381" i="11"/>
  <c r="F383" i="11"/>
  <c r="D384" i="11"/>
  <c r="D360" i="11"/>
  <c r="I360" i="11"/>
  <c r="C146" i="6"/>
  <c r="H159" i="6"/>
  <c r="Q462" i="1"/>
  <c r="C471" i="1"/>
  <c r="C470" i="1"/>
  <c r="N462" i="1"/>
  <c r="M68" i="6"/>
  <c r="M69" i="6"/>
  <c r="N380" i="11"/>
  <c r="M315" i="11"/>
  <c r="E456" i="1"/>
  <c r="Q174" i="6"/>
  <c r="E175" i="6"/>
  <c r="O174" i="6"/>
  <c r="O63" i="6"/>
  <c r="K62" i="6"/>
  <c r="J63" i="6"/>
  <c r="O62" i="6"/>
  <c r="I398" i="1"/>
  <c r="C412" i="1"/>
  <c r="I310" i="11"/>
  <c r="K333" i="11"/>
  <c r="K315" i="11"/>
  <c r="N315" i="11"/>
  <c r="I320" i="11"/>
  <c r="D456" i="1"/>
  <c r="P462" i="1"/>
  <c r="N338" i="11"/>
  <c r="C344" i="11"/>
  <c r="C342" i="11"/>
  <c r="F465" i="1"/>
  <c r="F428" i="1"/>
  <c r="N159" i="6"/>
  <c r="N174" i="6"/>
  <c r="N189" i="6"/>
  <c r="N204" i="6"/>
  <c r="N219" i="6"/>
  <c r="N234" i="6"/>
  <c r="N249" i="6"/>
  <c r="N264" i="6"/>
  <c r="N279" i="6"/>
  <c r="N294" i="6"/>
  <c r="D465" i="1"/>
  <c r="G465" i="1"/>
  <c r="M48" i="6"/>
  <c r="M49" i="6"/>
  <c r="I48" i="6"/>
  <c r="M73" i="6"/>
  <c r="M74" i="6"/>
  <c r="I73" i="6"/>
  <c r="I79" i="6"/>
  <c r="K80" i="6"/>
  <c r="E383" i="11"/>
  <c r="E384" i="11"/>
  <c r="D428" i="1"/>
  <c r="G383" i="11"/>
  <c r="F384" i="11"/>
  <c r="O315" i="11"/>
  <c r="K320" i="11"/>
  <c r="G456" i="1"/>
  <c r="G429" i="1"/>
  <c r="E430" i="1"/>
  <c r="D458" i="1"/>
  <c r="F466" i="1"/>
  <c r="D467" i="1"/>
  <c r="G495" i="1"/>
  <c r="F495" i="1"/>
  <c r="D466" i="1"/>
  <c r="I318" i="11"/>
  <c r="I333" i="11"/>
  <c r="M334" i="11"/>
  <c r="M357" i="11"/>
  <c r="K334" i="11"/>
  <c r="M339" i="11"/>
  <c r="H68" i="6"/>
  <c r="K70" i="6"/>
  <c r="I71" i="6"/>
  <c r="J68" i="6"/>
  <c r="H70" i="6"/>
  <c r="K68" i="6"/>
  <c r="J70" i="6"/>
  <c r="H71" i="6"/>
  <c r="C472" i="1"/>
  <c r="Q494" i="1"/>
  <c r="C503" i="1"/>
  <c r="H174" i="6"/>
  <c r="C161" i="6"/>
  <c r="E429" i="1"/>
  <c r="G430" i="1"/>
  <c r="E458" i="1"/>
  <c r="I353" i="11"/>
  <c r="M354" i="11"/>
  <c r="K354" i="11"/>
  <c r="C162" i="6"/>
  <c r="P174" i="6"/>
  <c r="C175" i="6"/>
  <c r="C174" i="6"/>
  <c r="M174" i="6"/>
  <c r="C178" i="6"/>
  <c r="I189" i="6"/>
  <c r="I482" i="1"/>
  <c r="M483" i="1"/>
  <c r="R494" i="1"/>
  <c r="E503" i="1"/>
  <c r="K483" i="1"/>
  <c r="F457" i="1"/>
  <c r="G486" i="1"/>
  <c r="K73" i="6"/>
  <c r="J79" i="6"/>
  <c r="H80" i="6"/>
  <c r="H73" i="6"/>
  <c r="J73" i="6"/>
  <c r="H79" i="6"/>
  <c r="H48" i="6"/>
  <c r="J48" i="6"/>
  <c r="K48" i="6"/>
  <c r="G466" i="1"/>
  <c r="E467" i="1"/>
  <c r="D495" i="1"/>
  <c r="D497" i="1"/>
  <c r="G498" i="1"/>
  <c r="E499" i="1"/>
  <c r="F458" i="1"/>
  <c r="F460" i="1"/>
  <c r="D429" i="1"/>
  <c r="G457" i="1"/>
  <c r="D486" i="1"/>
  <c r="I322" i="11"/>
  <c r="K339" i="11"/>
  <c r="N339" i="11"/>
  <c r="I344" i="11"/>
  <c r="J62" i="6"/>
  <c r="H63" i="6"/>
  <c r="H62" i="6"/>
  <c r="I62" i="6"/>
  <c r="I63" i="6"/>
  <c r="O189" i="6"/>
  <c r="Q189" i="6"/>
  <c r="E190" i="6"/>
  <c r="E457" i="1"/>
  <c r="E486" i="1"/>
  <c r="E488" i="1"/>
  <c r="E489" i="1"/>
  <c r="I68" i="6"/>
  <c r="I70" i="6"/>
  <c r="K71" i="6"/>
  <c r="C346" i="11"/>
  <c r="D383" i="11"/>
  <c r="G384" i="11"/>
  <c r="N384" i="11"/>
  <c r="I395" i="11"/>
  <c r="F486" i="1"/>
  <c r="D457" i="1"/>
  <c r="I457" i="1"/>
  <c r="C474" i="1"/>
  <c r="G460" i="1"/>
  <c r="I55" i="6"/>
  <c r="K55" i="6"/>
  <c r="H55" i="6"/>
  <c r="I384" i="11"/>
  <c r="I346" i="11"/>
  <c r="D488" i="1"/>
  <c r="G489" i="1"/>
  <c r="F430" i="1"/>
  <c r="I430" i="1"/>
  <c r="C444" i="1"/>
  <c r="I429" i="1"/>
  <c r="C443" i="1"/>
  <c r="H49" i="6"/>
  <c r="J49" i="6"/>
  <c r="H50" i="6"/>
  <c r="I49" i="6"/>
  <c r="I50" i="6"/>
  <c r="K49" i="6"/>
  <c r="J50" i="6"/>
  <c r="I74" i="6"/>
  <c r="I75" i="6"/>
  <c r="K78" i="6"/>
  <c r="K74" i="6"/>
  <c r="J75" i="6"/>
  <c r="H78" i="6"/>
  <c r="J74" i="6"/>
  <c r="H75" i="6"/>
  <c r="H74" i="6"/>
  <c r="K79" i="6"/>
  <c r="I80" i="6"/>
  <c r="C193" i="6"/>
  <c r="I204" i="6"/>
  <c r="I354" i="11"/>
  <c r="K377" i="11"/>
  <c r="C176" i="6"/>
  <c r="H189" i="6"/>
  <c r="C502" i="1"/>
  <c r="P494" i="1"/>
  <c r="F497" i="1"/>
  <c r="D498" i="1"/>
  <c r="E497" i="1"/>
  <c r="E498" i="1"/>
  <c r="G499" i="1"/>
  <c r="F461" i="1"/>
  <c r="D462" i="1"/>
  <c r="G490" i="1"/>
  <c r="F488" i="1"/>
  <c r="D489" i="1"/>
  <c r="I489" i="1"/>
  <c r="C506" i="1"/>
  <c r="N362" i="11"/>
  <c r="C368" i="11"/>
  <c r="K362" i="11"/>
  <c r="O204" i="6"/>
  <c r="Q204" i="6"/>
  <c r="E205" i="6"/>
  <c r="I65" i="6"/>
  <c r="H65" i="6"/>
  <c r="K63" i="6"/>
  <c r="J65" i="6"/>
  <c r="D461" i="1"/>
  <c r="F490" i="1"/>
  <c r="M79" i="6"/>
  <c r="C139" i="6"/>
  <c r="C154" i="6"/>
  <c r="C169" i="6"/>
  <c r="C184" i="6"/>
  <c r="C199" i="6"/>
  <c r="C214" i="6"/>
  <c r="C229" i="6"/>
  <c r="C244" i="6"/>
  <c r="C259" i="6"/>
  <c r="C274" i="6"/>
  <c r="C289" i="6"/>
  <c r="C304" i="6"/>
  <c r="J80" i="6"/>
  <c r="M80" i="6"/>
  <c r="C140" i="6"/>
  <c r="C155" i="6"/>
  <c r="C170" i="6"/>
  <c r="C185" i="6"/>
  <c r="C200" i="6"/>
  <c r="C215" i="6"/>
  <c r="C230" i="6"/>
  <c r="C245" i="6"/>
  <c r="C260" i="6"/>
  <c r="C275" i="6"/>
  <c r="C290" i="6"/>
  <c r="C305" i="6"/>
  <c r="G488" i="1"/>
  <c r="F489" i="1"/>
  <c r="I483" i="1"/>
  <c r="M189" i="6"/>
  <c r="C177" i="6"/>
  <c r="P189" i="6"/>
  <c r="C190" i="6"/>
  <c r="C189" i="6"/>
  <c r="M377" i="11"/>
  <c r="O362" i="11"/>
  <c r="E368" i="11"/>
  <c r="M362" i="11"/>
  <c r="E460" i="1"/>
  <c r="N494" i="1"/>
  <c r="C504" i="1"/>
  <c r="J71" i="6"/>
  <c r="M71" i="6"/>
  <c r="C136" i="6"/>
  <c r="C151" i="6"/>
  <c r="C166" i="6"/>
  <c r="C181" i="6"/>
  <c r="C196" i="6"/>
  <c r="C211" i="6"/>
  <c r="C226" i="6"/>
  <c r="C241" i="6"/>
  <c r="C256" i="6"/>
  <c r="C271" i="6"/>
  <c r="C286" i="6"/>
  <c r="C301" i="6"/>
  <c r="M70" i="6"/>
  <c r="C135" i="6"/>
  <c r="C150" i="6"/>
  <c r="C165" i="6"/>
  <c r="C180" i="6"/>
  <c r="C195" i="6"/>
  <c r="C210" i="6"/>
  <c r="C225" i="6"/>
  <c r="C240" i="6"/>
  <c r="C255" i="6"/>
  <c r="C270" i="6"/>
  <c r="C285" i="6"/>
  <c r="C300" i="6"/>
  <c r="O339" i="11"/>
  <c r="K344" i="11"/>
  <c r="I342" i="11"/>
  <c r="I334" i="11"/>
  <c r="K357" i="11"/>
  <c r="F467" i="1"/>
  <c r="I467" i="1"/>
  <c r="C478" i="1"/>
  <c r="I466" i="1"/>
  <c r="C477" i="1"/>
  <c r="G497" i="1"/>
  <c r="F498" i="1"/>
  <c r="D499" i="1"/>
  <c r="D460" i="1"/>
  <c r="I499" i="1"/>
  <c r="C510" i="1"/>
  <c r="F462" i="1"/>
  <c r="M65" i="6"/>
  <c r="C370" i="11"/>
  <c r="K386" i="11"/>
  <c r="I77" i="6"/>
  <c r="H77" i="6"/>
  <c r="K75" i="6"/>
  <c r="I78" i="6"/>
  <c r="J77" i="6"/>
  <c r="J56" i="6"/>
  <c r="H57" i="6"/>
  <c r="I56" i="6"/>
  <c r="G461" i="1"/>
  <c r="E462" i="1"/>
  <c r="I462" i="1"/>
  <c r="C476" i="1"/>
  <c r="D490" i="1"/>
  <c r="I357" i="11"/>
  <c r="K358" i="11"/>
  <c r="M358" i="11"/>
  <c r="E490" i="1"/>
  <c r="E492" i="1"/>
  <c r="E493" i="1"/>
  <c r="G494" i="1"/>
  <c r="E461" i="1"/>
  <c r="G462" i="1"/>
  <c r="C192" i="6"/>
  <c r="P204" i="6"/>
  <c r="C205" i="6"/>
  <c r="C204" i="6"/>
  <c r="M204" i="6"/>
  <c r="K65" i="6"/>
  <c r="L65" i="6"/>
  <c r="O219" i="6"/>
  <c r="Q219" i="6"/>
  <c r="E220" i="6"/>
  <c r="C366" i="11"/>
  <c r="I498" i="1"/>
  <c r="C509" i="1"/>
  <c r="F499" i="1"/>
  <c r="H204" i="6"/>
  <c r="C191" i="6"/>
  <c r="I377" i="11"/>
  <c r="K378" i="11"/>
  <c r="M378" i="11"/>
  <c r="M386" i="11"/>
  <c r="C208" i="6"/>
  <c r="I219" i="6"/>
  <c r="J78" i="6"/>
  <c r="M78" i="6"/>
  <c r="C138" i="6"/>
  <c r="C153" i="6"/>
  <c r="C168" i="6"/>
  <c r="C183" i="6"/>
  <c r="C198" i="6"/>
  <c r="C213" i="6"/>
  <c r="C228" i="6"/>
  <c r="C243" i="6"/>
  <c r="C258" i="6"/>
  <c r="C273" i="6"/>
  <c r="C288" i="6"/>
  <c r="C303" i="6"/>
  <c r="K50" i="6"/>
  <c r="I52" i="6"/>
  <c r="H52" i="6"/>
  <c r="J52" i="6"/>
  <c r="H56" i="6"/>
  <c r="K56" i="6"/>
  <c r="J57" i="6"/>
  <c r="K52" i="6"/>
  <c r="L52" i="6"/>
  <c r="I234" i="6"/>
  <c r="C223" i="6"/>
  <c r="C206" i="6"/>
  <c r="H219" i="6"/>
  <c r="Q234" i="6"/>
  <c r="E235" i="6"/>
  <c r="O234" i="6"/>
  <c r="M219" i="6"/>
  <c r="P219" i="6"/>
  <c r="C220" i="6"/>
  <c r="C219" i="6"/>
  <c r="C207" i="6"/>
  <c r="I358" i="11"/>
  <c r="K381" i="11"/>
  <c r="K363" i="11"/>
  <c r="N363" i="11"/>
  <c r="I368" i="11"/>
  <c r="D492" i="1"/>
  <c r="G493" i="1"/>
  <c r="E494" i="1"/>
  <c r="O57" i="6"/>
  <c r="N59" i="6"/>
  <c r="I57" i="6"/>
  <c r="K77" i="6"/>
  <c r="L77" i="6"/>
  <c r="C394" i="11"/>
  <c r="O386" i="11"/>
  <c r="E392" i="11"/>
  <c r="I59" i="6"/>
  <c r="K57" i="6"/>
  <c r="J59" i="6"/>
  <c r="H59" i="6"/>
  <c r="M59" i="6"/>
  <c r="M52" i="6"/>
  <c r="M75" i="6"/>
  <c r="C137" i="6"/>
  <c r="C152" i="6"/>
  <c r="C167" i="6"/>
  <c r="C182" i="6"/>
  <c r="C197" i="6"/>
  <c r="C212" i="6"/>
  <c r="C227" i="6"/>
  <c r="C242" i="6"/>
  <c r="C257" i="6"/>
  <c r="C272" i="6"/>
  <c r="C287" i="6"/>
  <c r="C302" i="6"/>
  <c r="I378" i="11"/>
  <c r="G492" i="1"/>
  <c r="F493" i="1"/>
  <c r="D494" i="1"/>
  <c r="F492" i="1"/>
  <c r="D493" i="1"/>
  <c r="M381" i="11"/>
  <c r="M363" i="11"/>
  <c r="O363" i="11"/>
  <c r="K368" i="11"/>
  <c r="M77" i="6"/>
  <c r="N386" i="11"/>
  <c r="C392" i="11"/>
  <c r="C390" i="11"/>
  <c r="I461" i="1"/>
  <c r="C475" i="1"/>
  <c r="K59" i="6"/>
  <c r="L59" i="6"/>
  <c r="I366" i="11"/>
  <c r="I381" i="11"/>
  <c r="M382" i="11"/>
  <c r="K382" i="11"/>
  <c r="I382" i="11"/>
  <c r="C222" i="6"/>
  <c r="P234" i="6"/>
  <c r="C235" i="6"/>
  <c r="C234" i="6"/>
  <c r="M234" i="6"/>
  <c r="C238" i="6"/>
  <c r="I249" i="6"/>
  <c r="M387" i="11"/>
  <c r="O387" i="11"/>
  <c r="K392" i="11"/>
  <c r="F494" i="1"/>
  <c r="I494" i="1"/>
  <c r="C508" i="1"/>
  <c r="I493" i="1"/>
  <c r="C507" i="1"/>
  <c r="K387" i="11"/>
  <c r="I394" i="11"/>
  <c r="I370" i="11"/>
  <c r="N387" i="11"/>
  <c r="I392" i="11"/>
  <c r="I390" i="11"/>
  <c r="O249" i="6"/>
  <c r="Q249" i="6"/>
  <c r="E250" i="6"/>
  <c r="H234" i="6"/>
  <c r="C221" i="6"/>
  <c r="C236" i="6"/>
  <c r="H249" i="6"/>
  <c r="O264" i="6"/>
  <c r="Q264" i="6"/>
  <c r="E265" i="6"/>
  <c r="C253" i="6"/>
  <c r="I264" i="6"/>
  <c r="M249" i="6"/>
  <c r="C237" i="6"/>
  <c r="P249" i="6"/>
  <c r="C250" i="6"/>
  <c r="C249" i="6"/>
  <c r="C252" i="6"/>
  <c r="P264" i="6"/>
  <c r="C265" i="6"/>
  <c r="C264" i="6"/>
  <c r="M264" i="6"/>
  <c r="O279" i="6"/>
  <c r="Q279" i="6"/>
  <c r="E280" i="6"/>
  <c r="C268" i="6"/>
  <c r="I279" i="6"/>
  <c r="H264" i="6"/>
  <c r="C251" i="6"/>
  <c r="I294" i="6"/>
  <c r="C298" i="6"/>
  <c r="C283" i="6"/>
  <c r="M279" i="6"/>
  <c r="P279" i="6"/>
  <c r="C280" i="6"/>
  <c r="C279" i="6"/>
  <c r="C267" i="6"/>
  <c r="C266" i="6"/>
  <c r="H279" i="6"/>
  <c r="Q294" i="6"/>
  <c r="E295" i="6"/>
  <c r="O294" i="6"/>
  <c r="H294" i="6"/>
  <c r="C296" i="6"/>
  <c r="C281" i="6"/>
  <c r="C282" i="6"/>
  <c r="P294" i="6"/>
  <c r="C295" i="6"/>
  <c r="C294" i="6"/>
  <c r="M294" i="6"/>
  <c r="C297" i="6"/>
</calcChain>
</file>

<file path=xl/sharedStrings.xml><?xml version="1.0" encoding="utf-8"?>
<sst xmlns="http://schemas.openxmlformats.org/spreadsheetml/2006/main" count="5355" uniqueCount="1364">
  <si>
    <t>or (dynamic) tracks that are banked.</t>
  </si>
  <si>
    <r>
      <t>Special case:  right-curved regular tracks.</t>
    </r>
    <r>
      <rPr>
        <sz val="10"/>
        <rFont val="Arial"/>
        <family val="2"/>
      </rPr>
      <t xml:space="preserve">  This case does not require Object Rotator </t>
    </r>
  </si>
  <si>
    <t xml:space="preserve">as long as the slope does not exceed the 3° limit.  Then, normal placement and reversal </t>
  </si>
  <si>
    <t>This sheet will produce Position and QDirection data for the second curve ("countercurve").</t>
  </si>
  <si>
    <t xml:space="preserve">One drawback of this approach is that the trackbed texture may be drawn shadowed in MSTS </t>
  </si>
  <si>
    <t>(because the track is then effectively upside-down, even though the rails are correctly drawn above the trackbed).</t>
  </si>
  <si>
    <r>
      <t>Special case:  right-curved dynamic tracks.</t>
    </r>
    <r>
      <rPr>
        <sz val="10"/>
        <rFont val="Arial"/>
        <family val="2"/>
      </rPr>
      <t xml:space="preserve">  This case is handled just like the left-curved case;</t>
    </r>
  </si>
  <si>
    <t xml:space="preserve">however, the right curves are obtained by using bank angles above 90° or below -90°.  </t>
  </si>
  <si>
    <t xml:space="preserve">(by pressing T) in RE is sufficient.  </t>
  </si>
  <si>
    <t>If the slope exceeds 3°, the situation is more complex and not treated here.</t>
  </si>
  <si>
    <t>IMPORTANT:  dynamic curved track sections must contain only one curve and no straight segments.</t>
  </si>
  <si>
    <t>(caution:  do not modify the numbers, or you will get errors)</t>
  </si>
  <si>
    <r>
      <t>m (</t>
    </r>
    <r>
      <rPr>
        <sz val="10"/>
        <color indexed="10"/>
        <rFont val="Arial"/>
        <family val="2"/>
      </rPr>
      <t>max 2047</t>
    </r>
    <r>
      <rPr>
        <sz val="10"/>
        <rFont val="Arial"/>
      </rPr>
      <t>)</t>
    </r>
  </si>
  <si>
    <t>RESULTS:</t>
  </si>
  <si>
    <t>x+dx</t>
  </si>
  <si>
    <t>y+dy</t>
  </si>
  <si>
    <t>z+dz</t>
  </si>
  <si>
    <t>tile x</t>
  </si>
  <si>
    <t>tile z</t>
  </si>
  <si>
    <t>QDirection:</t>
  </si>
  <si>
    <t>x &gt; 0 to the east of the tile center, ranging from -1024 to +1024 m;</t>
  </si>
  <si>
    <t>y &gt; 0 above sea level, in meters;</t>
  </si>
  <si>
    <t>lampposts along a road, while being too rough for very long station platforms.</t>
  </si>
  <si>
    <r>
      <t xml:space="preserve">For objects that will not be joined </t>
    </r>
    <r>
      <rPr>
        <sz val="10"/>
        <rFont val="Arial"/>
      </rPr>
      <t xml:space="preserve">(like trees or lampposts), choose the </t>
    </r>
    <r>
      <rPr>
        <b/>
        <sz val="10"/>
        <color indexed="17"/>
        <rFont val="Arial"/>
        <family val="2"/>
      </rPr>
      <t>horizontal spacing between objects</t>
    </r>
    <r>
      <rPr>
        <sz val="10"/>
        <rFont val="Arial"/>
      </rPr>
      <t xml:space="preserve"> (in meters).</t>
    </r>
  </si>
  <si>
    <r>
      <t xml:space="preserve">For </t>
    </r>
    <r>
      <rPr>
        <sz val="10"/>
        <color indexed="17"/>
        <rFont val="Arial"/>
        <family val="2"/>
      </rPr>
      <t>other objects</t>
    </r>
    <r>
      <rPr>
        <sz val="10"/>
        <rFont val="Arial"/>
        <family val="2"/>
      </rPr>
      <t xml:space="preserve"> that will not be joined </t>
    </r>
    <r>
      <rPr>
        <sz val="10"/>
        <rFont val="Arial"/>
      </rPr>
      <t xml:space="preserve">(like trees or lampposts), enter the </t>
    </r>
  </si>
  <si>
    <t>z &gt; 0 to the north of the tile center, ranging from -1024 to +1024 m.</t>
  </si>
  <si>
    <t>Position:</t>
  </si>
  <si>
    <t>"tile z":</t>
  </si>
  <si>
    <t>"tile x":</t>
  </si>
  <si>
    <t>Elevation:</t>
  </si>
  <si>
    <t>QDirection</t>
  </si>
  <si>
    <t>slope (gradient)</t>
  </si>
  <si>
    <r>
      <t xml:space="preserve">(if tile numbers have changed, place the object in the corresponding </t>
    </r>
    <r>
      <rPr>
        <b/>
        <sz val="10"/>
        <rFont val="Arial"/>
        <family val="2"/>
      </rPr>
      <t>different</t>
    </r>
    <r>
      <rPr>
        <sz val="10"/>
        <rFont val="Arial"/>
      </rPr>
      <t xml:space="preserve"> world tile file; to find it, see </t>
    </r>
    <r>
      <rPr>
        <b/>
        <sz val="10"/>
        <rFont val="Arial"/>
        <family val="2"/>
      </rPr>
      <t>Guide</t>
    </r>
    <r>
      <rPr>
        <sz val="10"/>
        <rFont val="Arial"/>
      </rPr>
      <t xml:space="preserve"> sheet)</t>
    </r>
  </si>
  <si>
    <t>440.657 2045.433 -48.361</t>
  </si>
  <si>
    <t>cos</t>
  </si>
  <si>
    <t>sin</t>
  </si>
  <si>
    <t>x</t>
  </si>
  <si>
    <t>y</t>
  </si>
  <si>
    <t>z</t>
  </si>
  <si>
    <t>MSTS coords:</t>
  </si>
  <si>
    <t>dx</t>
  </si>
  <si>
    <t>dy</t>
  </si>
  <si>
    <t>dz</t>
  </si>
  <si>
    <t>Guide:</t>
  </si>
  <si>
    <t>Line up:</t>
  </si>
  <si>
    <t>examples:</t>
  </si>
  <si>
    <r>
      <t>° (</t>
    </r>
    <r>
      <rPr>
        <sz val="10"/>
        <color indexed="10"/>
        <rFont val="Arial"/>
        <family val="2"/>
      </rPr>
      <t>positive</t>
    </r>
    <r>
      <rPr>
        <sz val="10"/>
        <rFont val="Arial"/>
      </rPr>
      <t xml:space="preserve">, </t>
    </r>
    <r>
      <rPr>
        <sz val="10"/>
        <color indexed="10"/>
        <rFont val="Arial"/>
        <family val="2"/>
      </rPr>
      <t>max 360</t>
    </r>
    <r>
      <rPr>
        <sz val="10"/>
        <rFont val="Arial"/>
      </rPr>
      <t>)</t>
    </r>
  </si>
  <si>
    <t>alpha (°) from chord:</t>
  </si>
  <si>
    <t>a=sign*alpha selection:</t>
  </si>
  <si>
    <t>chord from turn angle:</t>
  </si>
  <si>
    <t>chord selection:</t>
  </si>
  <si>
    <r>
      <t>Placing track and road sections along a curve</t>
    </r>
    <r>
      <rPr>
        <sz val="10"/>
        <rFont val="Arial"/>
      </rPr>
      <t xml:space="preserve"> means placing them on a circle, </t>
    </r>
  </si>
  <si>
    <t>joined end to end (tail to nose).</t>
  </si>
  <si>
    <t>1)  Specify the initial curve orientation, in one of two ways</t>
  </si>
  <si>
    <t>it is the direction and slope of curved track or road just BEFORE it starts turning.</t>
  </si>
  <si>
    <r>
      <t xml:space="preserve"> </t>
    </r>
    <r>
      <rPr>
        <b/>
        <sz val="10"/>
        <color indexed="9"/>
        <rFont val="Arial"/>
        <family val="2"/>
      </rPr>
      <t>copy the three Position numbers</t>
    </r>
    <r>
      <rPr>
        <sz val="10"/>
        <color indexed="9"/>
        <rFont val="Arial"/>
        <family val="2"/>
      </rPr>
      <t xml:space="preserve"> from a *.w file as one string here:</t>
    </r>
  </si>
  <si>
    <r>
      <t xml:space="preserve"> </t>
    </r>
    <r>
      <rPr>
        <b/>
        <sz val="10"/>
        <color indexed="9"/>
        <rFont val="Arial"/>
        <family val="2"/>
      </rPr>
      <t>insert x, y and z</t>
    </r>
    <r>
      <rPr>
        <sz val="10"/>
        <color indexed="9"/>
        <rFont val="Arial"/>
        <family val="2"/>
      </rPr>
      <t xml:space="preserve"> in three separate cells:</t>
    </r>
  </si>
  <si>
    <r>
      <t xml:space="preserve"> </t>
    </r>
    <r>
      <rPr>
        <b/>
        <sz val="10"/>
        <color indexed="9"/>
        <rFont val="Arial"/>
        <family val="2"/>
      </rPr>
      <t>paste four QDirection numbers</t>
    </r>
    <r>
      <rPr>
        <sz val="10"/>
        <color indexed="9"/>
        <rFont val="Arial"/>
        <family val="2"/>
      </rPr>
      <t xml:space="preserve"> as one string here:</t>
    </r>
  </si>
  <si>
    <r>
      <t>if =</t>
    </r>
    <r>
      <rPr>
        <b/>
        <sz val="10"/>
        <color indexed="9"/>
        <rFont val="Arial"/>
        <family val="2"/>
      </rPr>
      <t>1</t>
    </r>
    <r>
      <rPr>
        <sz val="10"/>
        <color indexed="9"/>
        <rFont val="Arial"/>
        <family val="2"/>
      </rPr>
      <t xml:space="preserve">, </t>
    </r>
    <r>
      <rPr>
        <b/>
        <sz val="10"/>
        <color indexed="9"/>
        <rFont val="Arial"/>
        <family val="2"/>
      </rPr>
      <t>copy the three Position numbers</t>
    </r>
    <r>
      <rPr>
        <sz val="10"/>
        <color indexed="9"/>
        <rFont val="Arial"/>
        <family val="2"/>
      </rPr>
      <t xml:space="preserve"> from a *.w file as one string here:</t>
    </r>
  </si>
  <si>
    <r>
      <t>if =</t>
    </r>
    <r>
      <rPr>
        <b/>
        <sz val="10"/>
        <color indexed="9"/>
        <rFont val="Arial"/>
        <family val="2"/>
      </rPr>
      <t>1</t>
    </r>
    <r>
      <rPr>
        <sz val="10"/>
        <color indexed="9"/>
        <rFont val="Arial"/>
        <family val="2"/>
      </rPr>
      <t xml:space="preserve">, </t>
    </r>
    <r>
      <rPr>
        <b/>
        <sz val="10"/>
        <color indexed="9"/>
        <rFont val="Arial"/>
        <family val="2"/>
      </rPr>
      <t>insert x, y and z</t>
    </r>
    <r>
      <rPr>
        <sz val="10"/>
        <color indexed="9"/>
        <rFont val="Arial"/>
        <family val="2"/>
      </rPr>
      <t xml:space="preserve"> in three separate cells:</t>
    </r>
  </si>
  <si>
    <t>(such as 500m and 10° for a1t500r10d.s).</t>
  </si>
  <si>
    <t>rad</t>
  </si>
  <si>
    <t xml:space="preserve">For regular track and road sections, the turn radius and angle (in degrees) are given in their name </t>
  </si>
  <si>
    <t>OUTPUT turn angle in degrees:</t>
  </si>
  <si>
    <t>OUTPUT turn radius in meters:</t>
  </si>
  <si>
    <t>INPUT degree of curv. in degrees:</t>
  </si>
  <si>
    <t>ft</t>
  </si>
  <si>
    <t>for a chord given in meters:</t>
  </si>
  <si>
    <t>for a chord given in feet:</t>
  </si>
  <si>
    <r>
      <t xml:space="preserve">INPUT turn angle in </t>
    </r>
    <r>
      <rPr>
        <u/>
        <sz val="10"/>
        <rFont val="Arial"/>
        <family val="2"/>
      </rPr>
      <t>degrees</t>
    </r>
    <r>
      <rPr>
        <sz val="10"/>
        <rFont val="Arial"/>
        <family val="2"/>
      </rPr>
      <t>:</t>
    </r>
  </si>
  <si>
    <r>
      <t xml:space="preserve">INPUT turn angle in </t>
    </r>
    <r>
      <rPr>
        <u/>
        <sz val="10"/>
        <rFont val="Arial"/>
        <family val="2"/>
      </rPr>
      <t>radians</t>
    </r>
    <r>
      <rPr>
        <sz val="10"/>
        <rFont val="Arial"/>
        <family val="2"/>
      </rPr>
      <t>:</t>
    </r>
  </si>
  <si>
    <r>
      <t xml:space="preserve">OUTPUT turn angle in </t>
    </r>
    <r>
      <rPr>
        <u/>
        <sz val="10"/>
        <rFont val="Arial"/>
        <family val="2"/>
      </rPr>
      <t>radians</t>
    </r>
    <r>
      <rPr>
        <sz val="10"/>
        <rFont val="Arial"/>
        <family val="2"/>
      </rPr>
      <t>:</t>
    </r>
  </si>
  <si>
    <r>
      <t xml:space="preserve">OUTPUT turn angle in </t>
    </r>
    <r>
      <rPr>
        <u/>
        <sz val="10"/>
        <rFont val="Arial"/>
        <family val="2"/>
      </rPr>
      <t>degrees</t>
    </r>
    <r>
      <rPr>
        <sz val="10"/>
        <rFont val="Arial"/>
        <family val="2"/>
      </rPr>
      <t>:</t>
    </r>
  </si>
  <si>
    <r>
      <t xml:space="preserve">INPUT </t>
    </r>
    <r>
      <rPr>
        <u/>
        <sz val="10"/>
        <rFont val="Arial"/>
        <family val="2"/>
      </rPr>
      <t>chord in meters</t>
    </r>
    <r>
      <rPr>
        <sz val="10"/>
        <rFont val="Arial"/>
        <family val="2"/>
      </rPr>
      <t>:</t>
    </r>
  </si>
  <si>
    <r>
      <t xml:space="preserve">INPUT </t>
    </r>
    <r>
      <rPr>
        <u/>
        <sz val="10"/>
        <rFont val="Arial"/>
        <family val="2"/>
      </rPr>
      <t>chord in feet</t>
    </r>
    <r>
      <rPr>
        <sz val="10"/>
        <rFont val="Arial"/>
        <family val="2"/>
      </rPr>
      <t>:</t>
    </r>
  </si>
  <si>
    <t xml:space="preserve">as is usually done most easily within RE.  However, this sheet automatically </t>
  </si>
  <si>
    <t>gives the new track section the same slope as the previous section.</t>
  </si>
  <si>
    <t>Use this sheet particularly for (regular or dynamic) tracks that have large slopes,</t>
  </si>
  <si>
    <r>
      <t>to convert between radians and degrees</t>
    </r>
    <r>
      <rPr>
        <sz val="10"/>
        <color indexed="9"/>
        <rFont val="Arial"/>
        <family val="2"/>
      </rPr>
      <t>, insert values and read results here:</t>
    </r>
  </si>
  <si>
    <t>Enter turn angle here (degrees):</t>
  </si>
  <si>
    <t>Enter turn radius here (meters):</t>
  </si>
  <si>
    <t xml:space="preserve">The tile numbers are necessary if you expect your track or road to run into another tile </t>
  </si>
  <si>
    <t>the RE will automatically adjust that during the track database rebuilding process.</t>
  </si>
  <si>
    <r>
      <t xml:space="preserve">you must reload the route with the </t>
    </r>
    <r>
      <rPr>
        <sz val="10"/>
        <color indexed="10"/>
        <rFont val="Arial"/>
        <family val="2"/>
      </rPr>
      <t>Advanced option "Rebuild Track Database"</t>
    </r>
  </si>
  <si>
    <r>
      <t xml:space="preserve">WARNING:  </t>
    </r>
    <r>
      <rPr>
        <sz val="10"/>
        <color indexed="10"/>
        <rFont val="Arial"/>
        <family val="2"/>
      </rPr>
      <t>tracks of type A1tEndPnt... cannot be placed this way</t>
    </r>
    <r>
      <rPr>
        <sz val="10"/>
        <rFont val="Arial"/>
      </rPr>
      <t xml:space="preserve"> (because they are not circular in shape).</t>
    </r>
  </si>
  <si>
    <t>Do not try to place tracks of type A1tEndPnt…!</t>
  </si>
  <si>
    <r>
      <t>to convert chord/degree of curvature to turn radius/angle</t>
    </r>
    <r>
      <rPr>
        <sz val="10"/>
        <color indexed="9"/>
        <rFont val="Arial"/>
        <family val="2"/>
      </rPr>
      <t>, insert values and read results here:</t>
    </r>
  </si>
  <si>
    <t>If you have curve data given as "chord/degree of curvature", you must first convert that to "turn radius/angle";</t>
  </si>
  <si>
    <t>4)  Go to the result section below (A, B, C or D) that corresponds to your needs</t>
  </si>
  <si>
    <r>
      <t xml:space="preserve">The </t>
    </r>
    <r>
      <rPr>
        <b/>
        <sz val="10"/>
        <color indexed="17"/>
        <rFont val="Arial"/>
        <family val="2"/>
      </rPr>
      <t>resulting position and orientation are shown as "Position" and "Parallel QDirection"</t>
    </r>
    <r>
      <rPr>
        <sz val="10"/>
        <rFont val="Arial"/>
      </rPr>
      <t xml:space="preserve"> below for each object.</t>
    </r>
  </si>
  <si>
    <t>-0.000581 0.382964 0.046965 0.922568</t>
  </si>
  <si>
    <r>
      <t>° (</t>
    </r>
    <r>
      <rPr>
        <sz val="10"/>
        <color indexed="10"/>
        <rFont val="Arial"/>
        <family val="2"/>
      </rPr>
      <t>positive</t>
    </r>
    <r>
      <rPr>
        <sz val="10"/>
        <rFont val="Arial"/>
      </rPr>
      <t xml:space="preserve">, </t>
    </r>
    <r>
      <rPr>
        <sz val="10"/>
        <color indexed="10"/>
        <rFont val="Arial"/>
        <family val="2"/>
      </rPr>
      <t>max 90</t>
    </r>
    <r>
      <rPr>
        <sz val="10"/>
        <rFont val="Arial"/>
      </rPr>
      <t>)</t>
    </r>
  </si>
  <si>
    <t>STAND VERTICAL - rotate an object to become vertical</t>
  </si>
  <si>
    <r>
      <t>Standing vertical</t>
    </r>
    <r>
      <rPr>
        <sz val="10"/>
        <rFont val="Arial"/>
      </rPr>
      <t xml:space="preserve"> means orienting an object to stand upright, perpendicular to a horizontal plane,</t>
    </r>
  </si>
  <si>
    <t>STAND PERPENDICULAR - rotate an object so it stands perpendicular to another</t>
  </si>
  <si>
    <r>
      <t>Standing perpendicular</t>
    </r>
    <r>
      <rPr>
        <sz val="10"/>
        <rFont val="Arial"/>
      </rPr>
      <t xml:space="preserve"> means orienting an object to have an other object's bank and slope,</t>
    </r>
  </si>
  <si>
    <r>
      <t xml:space="preserve">for a </t>
    </r>
    <r>
      <rPr>
        <b/>
        <sz val="10"/>
        <rFont val="Arial"/>
        <family val="2"/>
      </rPr>
      <t>STRAIGHT</t>
    </r>
    <r>
      <rPr>
        <b/>
        <sz val="10"/>
        <color indexed="9"/>
        <rFont val="Arial"/>
        <family val="2"/>
      </rPr>
      <t xml:space="preserve"> section, NO further data are needed: skip to results</t>
    </r>
  </si>
  <si>
    <r>
      <t xml:space="preserve">8) Continue following the instructions of the </t>
    </r>
    <r>
      <rPr>
        <b/>
        <sz val="10"/>
        <rFont val="Arial"/>
        <family val="2"/>
      </rPr>
      <t>Line up</t>
    </r>
    <r>
      <rPr>
        <b/>
        <sz val="10"/>
        <color indexed="9"/>
        <rFont val="Arial"/>
        <family val="2"/>
      </rPr>
      <t xml:space="preserve"> sheet until the line has reached the end position</t>
    </r>
  </si>
  <si>
    <t>SPECIAL CASE OF TRACKS AND ROADS:</t>
  </si>
  <si>
    <t xml:space="preserve">WARNING: </t>
  </si>
  <si>
    <t>General procedure for using this tool:</t>
  </si>
  <si>
    <t>Typically, you use this tool as follows (variations will occur depending on what you want to do):</t>
  </si>
  <si>
    <t>- load your route in the RE (Route Editor);</t>
  </si>
  <si>
    <t>- place some objects near where you want them to be (keeping their default orientation);</t>
  </si>
  <si>
    <t>- open this tool in Excel and go to the sheet that you need;</t>
  </si>
  <si>
    <t>- use this tool to generate new orientation and/or position data for those objects;</t>
  </si>
  <si>
    <t>- copy those new data to the same world tile file;</t>
  </si>
  <si>
    <t>- save the world tile file;</t>
  </si>
  <si>
    <t>- reload the route in the RE;</t>
  </si>
  <si>
    <t>- save the route.</t>
  </si>
  <si>
    <t>More detailed instructions are given on the different sheets of this tool.</t>
  </si>
  <si>
    <t>If you are not familiar with using Excel worksheets, you should understand the following:</t>
  </si>
  <si>
    <t>whenever you insert a value in a cell, Excel considers that you have changed the worksheet,</t>
  </si>
  <si>
    <t>so Excel will ask you whether to save the changed worksheet or not when you try to close</t>
  </si>
  <si>
    <t>the worksheet;  if you choose to save, your new insertions will be saved;  otherwise, the old</t>
  </si>
  <si>
    <t>values will remain unchanged;  you should choose what suits you best.</t>
  </si>
  <si>
    <t>Procedure for finding an object in its world tile file:</t>
  </si>
  <si>
    <t xml:space="preserve">An important step in using this tool is finding the data defining an object, its position and </t>
  </si>
  <si>
    <t>its orientation in the world tile files (of type *.w) in a route's WORLD folder.</t>
  </si>
  <si>
    <t>You may need to copy data from there to this tool, and copy data back to the world tile file.</t>
  </si>
  <si>
    <t>Do this as follows:</t>
  </si>
  <si>
    <t>- in the Route Editor (RE), move the camera close to the object;</t>
  </si>
  <si>
    <t>- make sure the camera is within the same tile as the object</t>
  </si>
  <si>
    <t>(press F7 and check that the object and the camera are not separated by a blue line);</t>
  </si>
  <si>
    <t>- record the tile number, given in the camera window as "tile x" and "tile z";</t>
  </si>
  <si>
    <t>- bank is reversed</t>
  </si>
  <si>
    <t>3)  Tip slope, reversing slope and bank:</t>
  </si>
  <si>
    <t>4)  Turn object 180° about vertical axis, keeping same slope and bank:</t>
  </si>
  <si>
    <t>- bank is unchanged</t>
  </si>
  <si>
    <t>5)  Turn object +90° about vertical axis, keeping same slope and bank:</t>
  </si>
  <si>
    <t>6)  Turn object -90° about vertical axis, keeping same slope and bank:</t>
  </si>
  <si>
    <r>
      <t>IMPORTANT FOR NEW TRACKS AND ROADS</t>
    </r>
    <r>
      <rPr>
        <sz val="10"/>
        <rFont val="Arial"/>
      </rPr>
      <t>: After changing the QDirection of track or road sections,</t>
    </r>
  </si>
  <si>
    <t>You adjust terrain as usual (for example, select track or road section and press Y).</t>
  </si>
  <si>
    <t>- record the object's tile coordinates, given in the Object window as "x", "y" and "z";</t>
  </si>
  <si>
    <t>length of SECOND straight segment:</t>
  </si>
  <si>
    <t>length of FIRST straight segment:</t>
  </si>
  <si>
    <t>2.0:</t>
  </si>
  <si>
    <t>- using Windows Explorer or My Computer, go to the route's WORLD folder;</t>
  </si>
  <si>
    <t>- with WordPad, open the file that contains "tile x" and "tile z" in its name;</t>
  </si>
  <si>
    <t>for example:  w-006079+014928.w if "tile x"=-6079 and "tile z"=14928;</t>
  </si>
  <si>
    <t>for example:  search for -176.269 to find Position ( -176.269 1546.4 12.7561 );</t>
  </si>
  <si>
    <t>- if the y and z coordinates match what you recorded earlier, you have found the object;</t>
  </si>
  <si>
    <t>if not, search further until you find a perfect match;</t>
  </si>
  <si>
    <t>Procedure for copying results from one worksheet cell to another:</t>
  </si>
  <si>
    <r>
      <t xml:space="preserve">You can </t>
    </r>
    <r>
      <rPr>
        <sz val="10"/>
        <color indexed="10"/>
        <rFont val="Arial"/>
        <family val="2"/>
      </rPr>
      <t>NOT</t>
    </r>
    <r>
      <rPr>
        <sz val="10"/>
        <rFont val="Arial"/>
      </rPr>
      <t xml:space="preserve"> simply use Ctrl-C (copy) and Ctrl-V (paste) to copy a result from one worksheet cell to another.</t>
    </r>
  </si>
  <si>
    <r>
      <t>1 - First object in line</t>
    </r>
    <r>
      <rPr>
        <sz val="10"/>
        <rFont val="Arial"/>
      </rPr>
      <t xml:space="preserve"> (already in place if you used its QDirection data above):</t>
    </r>
  </si>
  <si>
    <r>
      <t xml:space="preserve">(use </t>
    </r>
    <r>
      <rPr>
        <sz val="10"/>
        <color indexed="10"/>
        <rFont val="Arial"/>
        <family val="2"/>
      </rPr>
      <t>Paste Special</t>
    </r>
    <r>
      <rPr>
        <sz val="10"/>
        <rFont val="Arial"/>
      </rPr>
      <t xml:space="preserve">, as explained on the </t>
    </r>
    <r>
      <rPr>
        <b/>
        <sz val="10"/>
        <rFont val="Arial"/>
        <family val="2"/>
      </rPr>
      <t>Guide</t>
    </r>
    <r>
      <rPr>
        <sz val="10"/>
        <rFont val="Arial"/>
      </rPr>
      <t xml:space="preserve"> sheet).</t>
    </r>
  </si>
  <si>
    <t>Copy the above results (in red or yellow cells) into the object definition in the proper world tile file.</t>
  </si>
  <si>
    <t>0.0352402 1 767.854</t>
  </si>
  <si>
    <t>8)  Save the world tile file(s) and reload the route</t>
  </si>
  <si>
    <t>comments</t>
  </si>
  <si>
    <t>data</t>
  </si>
  <si>
    <t>0 0 0 1</t>
  </si>
  <si>
    <t>The internal x, y, z axes are fixed to the object and thus turn with the object.</t>
  </si>
  <si>
    <r>
      <t xml:space="preserve">By contrast, the </t>
    </r>
    <r>
      <rPr>
        <b/>
        <sz val="10"/>
        <rFont val="Arial"/>
        <family val="2"/>
      </rPr>
      <t>Turn about world axes sheet</t>
    </r>
    <r>
      <rPr>
        <sz val="10"/>
        <rFont val="Arial"/>
      </rPr>
      <t xml:space="preserve"> uses rotations around the fixed world axes</t>
    </r>
  </si>
  <si>
    <t>bank ("right wing down" &gt;0°):</t>
  </si>
  <si>
    <t>slope ("nose up" &gt;0°):</t>
  </si>
  <si>
    <t>2)  Insert QDirection's four numbers in the green cell</t>
  </si>
  <si>
    <t>specify only ONE</t>
  </si>
  <si>
    <t>non-zero angle</t>
  </si>
  <si>
    <t>(and TWO zero angles)</t>
  </si>
  <si>
    <t xml:space="preserve">Choose a bank, slope or heading angle:  </t>
  </si>
  <si>
    <t>this angle will be ADDED to the current bank, slope or heading angle of the object.</t>
  </si>
  <si>
    <t>heading phi/2</t>
  </si>
  <si>
    <t>heading</t>
  </si>
  <si>
    <t>while maintaining its own heading (compass direction).</t>
  </si>
  <si>
    <t>TURN ABOUT OBJECT AXES - change an object's bank, slope or heading around its own axes</t>
  </si>
  <si>
    <t>get object x-axis</t>
  </si>
  <si>
    <t>get object y-axis</t>
  </si>
  <si>
    <t>object z-axis ("north")</t>
  </si>
  <si>
    <t>object x-axis ("east")</t>
  </si>
  <si>
    <t>object y-axis ("vertical")</t>
  </si>
  <si>
    <t xml:space="preserve">If you want to apply another rotation of the same object about another object axis, </t>
  </si>
  <si>
    <r>
      <t xml:space="preserve">Instead, you must use the </t>
    </r>
    <r>
      <rPr>
        <b/>
        <sz val="10"/>
        <rFont val="Arial"/>
        <family val="2"/>
      </rPr>
      <t>Paste Special - Values</t>
    </r>
    <r>
      <rPr>
        <sz val="10"/>
        <rFont val="Arial"/>
      </rPr>
      <t xml:space="preserve"> option, as follows:</t>
    </r>
  </si>
  <si>
    <t>(select green cell, right-click, select Paste Special - Values; numbers may flow into other cells):</t>
  </si>
  <si>
    <t>(select the green cell, right-click, select Paste Special - Values; numbers may flow into other cells)</t>
  </si>
  <si>
    <t>(select the green cell, right-click, select Paste Special - Values; numbers may flow into other cells):</t>
  </si>
  <si>
    <t xml:space="preserve">copy the 4 numbers from the object's QDirection line, select the green cell, </t>
  </si>
  <si>
    <t>for example to make a tilting object stand vertical.</t>
  </si>
  <si>
    <t>while maintaining its own heading (compass direction ),</t>
  </si>
  <si>
    <t>for example tilting it to match a sloping track or road.</t>
  </si>
  <si>
    <t>0.461940 -0.191342 0.191342 0.844623</t>
  </si>
  <si>
    <t>QDirection for bank, slope, heading: 45, 45, 45°</t>
  </si>
  <si>
    <t>x (y MSTS)</t>
  </si>
  <si>
    <t>y (x MSTS)</t>
  </si>
  <si>
    <t>z (z MSTS)</t>
  </si>
  <si>
    <t>you must reload the route with the Advanced option "Rebuild Track Database"</t>
  </si>
  <si>
    <r>
      <t>Smoothly continuing steep rollercoaster tracks means joining another dynamic track section to an existing one</t>
    </r>
    <r>
      <rPr>
        <sz val="10"/>
        <rFont val="Arial"/>
        <family val="2"/>
      </rPr>
      <t>,</t>
    </r>
  </si>
  <si>
    <t>in such as way that the heading, slope and bank match smoothly at the joint.</t>
  </si>
  <si>
    <t>This option is designed for rollercoasters where tracks can be made very steep</t>
  </si>
  <si>
    <t>by adjusting the slope and/or the bank angle.</t>
  </si>
  <si>
    <t>This sheet takes an existing dynamic track section with any heading, slope and bank,</t>
  </si>
  <si>
    <t>FOR LEFT CURVE ONLY:</t>
  </si>
  <si>
    <t>FOR RIGHT CURVE ONLY:</t>
  </si>
  <si>
    <t>q1(antiparallel)=</t>
  </si>
  <si>
    <t xml:space="preserve">containing up to 5 straight and/or curved segments, and calculates the Position and </t>
  </si>
  <si>
    <t>QDirection of the next dynamic track section that will smoothly join the existing track.</t>
  </si>
  <si>
    <t>A dynamic track section can give right turns by using a bank angle above 90° or below -90°,</t>
  </si>
  <si>
    <t>(a bank angle of 180° gives a level right-hand turn);  however the track bed may then appear shaded.</t>
  </si>
  <si>
    <r>
      <t xml:space="preserve">the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sheet, and adjust the bank angle there before copying to the corresponding *.w file.</t>
    </r>
  </si>
  <si>
    <t xml:space="preserve">To change the bank angle of the new dynamic track section, copy and paste the QDirection given here into </t>
  </si>
  <si>
    <t>(This will not change the quality of the track-track joint.)</t>
  </si>
  <si>
    <t>See the documentation for more details about using this sheet.</t>
  </si>
  <si>
    <t>dynamic track section lies.</t>
  </si>
  <si>
    <t>These data can all be obtained from the *.w world file for the tile in which the existing</t>
  </si>
  <si>
    <t>- nose flips from up to down, or down to up</t>
  </si>
  <si>
    <t>- rotation is to LEFT when looking down</t>
  </si>
  <si>
    <t>a</t>
  </si>
  <si>
    <t>yawed a</t>
  </si>
  <si>
    <t xml:space="preserve">If you wish to add more objects to this curve, copy the last tile numbers, </t>
  </si>
  <si>
    <r>
      <t xml:space="preserve">The </t>
    </r>
    <r>
      <rPr>
        <b/>
        <sz val="10"/>
        <color indexed="17"/>
        <rFont val="Arial"/>
        <family val="2"/>
      </rPr>
      <t>resulting position and orientation are shown as "Position" and "Parallel QDirection"</t>
    </r>
    <r>
      <rPr>
        <sz val="10"/>
        <rFont val="Arial"/>
      </rPr>
      <t xml:space="preserve"> below for each object </t>
    </r>
  </si>
  <si>
    <t>The "Elevation" (slope of tracks or roads) need not be copied into the world tile file:</t>
  </si>
  <si>
    <t>the RE will generate those during the track database rebuilding process.</t>
  </si>
  <si>
    <t>8) For other lined up objects, move them into position</t>
  </si>
  <si>
    <t>9) Save the route</t>
  </si>
  <si>
    <t>10)</t>
  </si>
  <si>
    <t>save the route</t>
  </si>
  <si>
    <t>6)  For new track and road, adjust the terrain to fit the new track or road</t>
  </si>
  <si>
    <t>7)  For new track and road, adjust the terrain to fit the new track or road</t>
  </si>
  <si>
    <t>7) Save the route</t>
  </si>
  <si>
    <t>This sheet will produce position coordinates and orientation data for each track or road section.</t>
  </si>
  <si>
    <t>NOTE:  To place other objects (not track or road) along a curve, use the Curved row sheet.</t>
  </si>
  <si>
    <t>to place antiparallel objects, start in the opposite direction and use parallel placement.</t>
  </si>
  <si>
    <r>
      <t xml:space="preserve">Enter </t>
    </r>
    <r>
      <rPr>
        <b/>
        <u/>
        <sz val="10"/>
        <color indexed="9"/>
        <rFont val="Arial"/>
        <family val="2"/>
      </rPr>
      <t>1 for left turn</t>
    </r>
    <r>
      <rPr>
        <b/>
        <sz val="10"/>
        <color indexed="9"/>
        <rFont val="Arial"/>
        <family val="2"/>
      </rPr>
      <t xml:space="preserve">, or </t>
    </r>
    <r>
      <rPr>
        <b/>
        <u/>
        <sz val="10"/>
        <color indexed="9"/>
        <rFont val="Arial"/>
        <family val="2"/>
      </rPr>
      <t>2 for right turn</t>
    </r>
    <r>
      <rPr>
        <b/>
        <sz val="10"/>
        <color indexed="9"/>
        <rFont val="Arial"/>
        <family val="2"/>
      </rPr>
      <t>:</t>
    </r>
  </si>
  <si>
    <t>NOTE: THE QDirection RESULTS ARE THE SAME FOR ALL OBJECTS IN THE LINE</t>
  </si>
  <si>
    <t>Data storage - use this sheet to store QDirection and other data for future use</t>
  </si>
  <si>
    <r>
      <t>IMPORTANT:</t>
    </r>
    <r>
      <rPr>
        <sz val="10"/>
        <color indexed="10"/>
        <rFont val="Arial"/>
        <family val="2"/>
      </rPr>
      <t xml:space="preserve">  to copy and paste data from one cell to another, use Ctrl-C and right-click, select Paste Special - Values.</t>
    </r>
  </si>
  <si>
    <t>|q2.q2|=</t>
  </si>
  <si>
    <t>|q2'.q2'|=</t>
  </si>
  <si>
    <t>This sheet will then produce four numbers that you must overwrite into the QDirection definition of the object in its world tile file.</t>
  </si>
  <si>
    <t>START HERE, INSERTING QDirection AND ONLY THREE ROTATION ANGLES:</t>
  </si>
  <si>
    <t>Then copy (Ctrl-C) the four numbers from QDirection (…) together as one string of characters</t>
  </si>
  <si>
    <t>(not one number at a time), for instance as "0 -0.220695 0 0.975343" (without quotes).</t>
  </si>
  <si>
    <t>Insert QDirection's four numbers in the green cell</t>
  </si>
  <si>
    <t>(select green cell and press Ctrl-V or Paste Special; numbers may flow into other cells):</t>
  </si>
  <si>
    <t>(Caution:  do not copy from another cell into this green cell!)</t>
  </si>
  <si>
    <t xml:space="preserve"> reorient by changing the 3 rotation angles given above, thus REPLACING the original orientation</t>
  </si>
  <si>
    <t xml:space="preserve"> reorient by further rotating, thus STARTING FROM the above orientation</t>
  </si>
  <si>
    <t>x3</t>
  </si>
  <si>
    <t>y3</t>
  </si>
  <si>
    <t>z3</t>
  </si>
  <si>
    <t>(010)-&gt; x2</t>
  </si>
  <si>
    <t>y2</t>
  </si>
  <si>
    <t>z2</t>
  </si>
  <si>
    <t>x1</t>
  </si>
  <si>
    <t>y1</t>
  </si>
  <si>
    <t>z1</t>
  </si>
  <si>
    <t>° (final range -90° to +90°)</t>
  </si>
  <si>
    <t>-90 to 90°</t>
  </si>
  <si>
    <t>in this case, enter the desired angles for further rotations below</t>
  </si>
  <si>
    <t>qf0-&gt;qf2</t>
  </si>
  <si>
    <t>qf1-&gt;qf1</t>
  </si>
  <si>
    <t>qf2-&gt;qf3</t>
  </si>
  <si>
    <t>qf3-&gt;qf0</t>
  </si>
  <si>
    <t>q"":</t>
  </si>
  <si>
    <t>TURN ABOUT WORLD AXES - change an object's bank, slope or heading around the fixed world axes</t>
  </si>
  <si>
    <t>either by changing the object's current bank, slope or heading, or by applying a further rotation about the world axes.</t>
  </si>
  <si>
    <t>0.000000 0.000000 -0.500000 0.866025</t>
  </si>
  <si>
    <t>-822.07 121.2852 -412.682</t>
  </si>
  <si>
    <t>The x, y, z axes of rotation are fixed in the world and thus do NOT turn with the object.</t>
  </si>
  <si>
    <t>because using fixed world axes is generally less intuitive than using mobile object axes for rotations.</t>
  </si>
  <si>
    <r>
      <t xml:space="preserve">You use this sheet to </t>
    </r>
    <r>
      <rPr>
        <b/>
        <sz val="10"/>
        <rFont val="Arial"/>
        <family val="2"/>
      </rPr>
      <t>add or subtract</t>
    </r>
    <r>
      <rPr>
        <sz val="10"/>
        <rFont val="Arial"/>
      </rPr>
      <t xml:space="preserve"> a bank, slope or heading change to an existing orientation,</t>
    </r>
  </si>
  <si>
    <t>gives deviation:</t>
  </si>
  <si>
    <t>gives added spacing:</t>
  </si>
  <si>
    <r>
      <t>CAUTION:</t>
    </r>
    <r>
      <rPr>
        <sz val="10"/>
        <rFont val="Arial"/>
      </rPr>
      <t xml:space="preserve">  RE's rounding of the angle to 3 decimal places results in an added spacing of</t>
    </r>
  </si>
  <si>
    <t xml:space="preserve">An example is a one-sided platform to be placed along track:  </t>
  </si>
  <si>
    <t xml:space="preserve">the platform's track-side will only face the track if the platform is placed on one  </t>
  </si>
  <si>
    <t>turning it 180° (and adjusting its slope if present), by antiparallelizing it.</t>
  </si>
  <si>
    <r>
      <t xml:space="preserve">Shifting means moving an object (without rotation) </t>
    </r>
    <r>
      <rPr>
        <sz val="10"/>
        <rFont val="Arial"/>
        <family val="2"/>
      </rPr>
      <t>through a particular distance along a particular direction.</t>
    </r>
  </si>
  <si>
    <t>The distance and direction are specified as the distance and direction between two existing objects.</t>
  </si>
  <si>
    <t>This sheet will produce new Position data for an object that needs to be shifted.</t>
  </si>
  <si>
    <t xml:space="preserve">In the above example of tracks to be shifted due to one section needing a change in slope, </t>
  </si>
  <si>
    <r>
      <t xml:space="preserve"> </t>
    </r>
    <r>
      <rPr>
        <b/>
        <sz val="10"/>
        <color indexed="57"/>
        <rFont val="Arial"/>
        <family val="2"/>
      </rPr>
      <t>copy the three Position numbers</t>
    </r>
    <r>
      <rPr>
        <sz val="10"/>
        <color indexed="57"/>
        <rFont val="Arial"/>
        <family val="2"/>
      </rPr>
      <t xml:space="preserve"> from a *.w file as one string here:</t>
    </r>
  </si>
  <si>
    <t>resulting shift vector:</t>
  </si>
  <si>
    <t>Position =</t>
  </si>
  <si>
    <t>1) First identify the two object positions that you will use to define the shift distance and direction.</t>
  </si>
  <si>
    <t xml:space="preserve">2) Enter here the first position defining the shift: </t>
  </si>
  <si>
    <t xml:space="preserve">3) Enter here the second position defining the shift: </t>
  </si>
  <si>
    <t>4) For each of the objects to be shifted, do the following:</t>
  </si>
  <si>
    <t>so the first position will be the existing Position of the next track section attached to it;</t>
  </si>
  <si>
    <t xml:space="preserve">the second position can be obtained by changing the slope of the track, attaching a new </t>
  </si>
  <si>
    <t>these two positions will be the end of the changed track BEFORE AND AFTER the change in its slope:</t>
  </si>
  <si>
    <t>track section to it, saving the route, and then taking its new Position data.</t>
  </si>
  <si>
    <t>5) Repeat step 4 for other objects to be shifted by the same distance along the same direction</t>
  </si>
  <si>
    <t>Shift:</t>
  </si>
  <si>
    <t>move an object without rotation</t>
  </si>
  <si>
    <t>- reposition tracks after changing the slope in one track section</t>
  </si>
  <si>
    <t>Do not change the default settings of the dynamic track</t>
  </si>
  <si>
    <t>3)  Save the route</t>
  </si>
  <si>
    <t>5)  Enter data for the second track section</t>
  </si>
  <si>
    <t>P1P2:</t>
  </si>
  <si>
    <t>P1</t>
  </si>
  <si>
    <t>P2</t>
  </si>
  <si>
    <t>l =</t>
  </si>
  <si>
    <t>d =</t>
  </si>
  <si>
    <t>midpoint:</t>
  </si>
  <si>
    <t>rad =</t>
  </si>
  <si>
    <t>deg</t>
  </si>
  <si>
    <t>0 -0.987066 0 0.160313</t>
  </si>
  <si>
    <t>0 0.160314 0 0.987066</t>
  </si>
  <si>
    <t>test antiparallelism of QDirections:</t>
  </si>
  <si>
    <t>|d|=</t>
  </si>
  <si>
    <t>6)  Specify desired turn radius</t>
  </si>
  <si>
    <r>
      <t>m (</t>
    </r>
    <r>
      <rPr>
        <sz val="10"/>
        <color indexed="10"/>
        <rFont val="Arial"/>
        <family val="2"/>
      </rPr>
      <t>max</t>
    </r>
  </si>
  <si>
    <t>)</t>
  </si>
  <si>
    <t>enter desired curve radius:</t>
  </si>
  <si>
    <t>|lm| =</t>
  </si>
  <si>
    <t>am (min turn angle) =</t>
  </si>
  <si>
    <t>Rm (max radius) =</t>
  </si>
  <si>
    <t>a (turn angle) =</t>
  </si>
  <si>
    <t>deg =</t>
  </si>
  <si>
    <t>rad (rounded)</t>
  </si>
  <si>
    <t>b2 =</t>
  </si>
  <si>
    <t>must be (0 0 0 0)</t>
  </si>
  <si>
    <t>m (rounded)</t>
  </si>
  <si>
    <t>radius of first curve segment:</t>
  </si>
  <si>
    <t>length of first straight segment:</t>
  </si>
  <si>
    <t>angle of first curve segment:</t>
  </si>
  <si>
    <t xml:space="preserve">In RE, adjust BOTH new dynamic tracks as follows: </t>
  </si>
  <si>
    <t>FOR LEFT TURNS ONLY:</t>
  </si>
  <si>
    <t>FOR RIGHT TURNS ONLY:</t>
  </si>
  <si>
    <t>in world tile file *.w, adjust:</t>
  </si>
  <si>
    <t>pi - am =</t>
  </si>
  <si>
    <t>Position of first new dynamic track:</t>
  </si>
  <si>
    <t>QDirection of first new dynamic track:</t>
  </si>
  <si>
    <t>Position of second new dynamic track:</t>
  </si>
  <si>
    <t>QDirection of second new dynamic track:</t>
  </si>
  <si>
    <t>adjust BOTH new dynamic tracks as follows:</t>
  </si>
  <si>
    <t>24.4633 0.999998 -111.688</t>
  </si>
  <si>
    <t>-10.5629 1 -234.589</t>
  </si>
  <si>
    <t>If desired, make fine adjustments in the dynamic track sections to improve the track-track joints</t>
  </si>
  <si>
    <t xml:space="preserve">After reloading route in RE (with track database rebuild),  </t>
  </si>
  <si>
    <t xml:space="preserve">For example, you may have placed a sequence of track sections, and then discovered </t>
  </si>
  <si>
    <t xml:space="preserve">side of the track;  to place the platform on the other side of the track requires </t>
  </si>
  <si>
    <r>
      <t xml:space="preserve">by using the </t>
    </r>
    <r>
      <rPr>
        <b/>
        <sz val="10"/>
        <rFont val="Arial"/>
        <family val="2"/>
      </rPr>
      <t>Line up</t>
    </r>
    <r>
      <rPr>
        <sz val="10"/>
        <rFont val="Arial"/>
      </rPr>
      <t xml:space="preserve"> or </t>
    </r>
    <r>
      <rPr>
        <b/>
        <sz val="10"/>
        <rFont val="Arial"/>
        <family val="2"/>
      </rPr>
      <t>Curve</t>
    </r>
    <r>
      <rPr>
        <sz val="10"/>
        <rFont val="Arial"/>
      </rPr>
      <t xml:space="preserve"> sheets.</t>
    </r>
  </si>
  <si>
    <t>find the existing object to which you want to parallelize the new object(s),</t>
  </si>
  <si>
    <t>optionally on a constant slope, and optionally joined end to end (tail to nose).</t>
  </si>
  <si>
    <t>Lining up tunnel track sections is particularly convenient, because it avoids</t>
  </si>
  <si>
    <t>5)  Specify the turn radius of the second curve (countercurve)</t>
  </si>
  <si>
    <t>Rollercoaster curves:</t>
  </si>
  <si>
    <t>smoothly continue steeply sloped dynamic tracks</t>
  </si>
  <si>
    <t>- bend multi-segmented dynamic tracks to form loops in rollercoasters</t>
  </si>
  <si>
    <r>
      <t>paste four QDirection numbers</t>
    </r>
    <r>
      <rPr>
        <sz val="10"/>
        <color indexed="9"/>
        <rFont val="Arial"/>
        <family val="2"/>
      </rPr>
      <t xml:space="preserve"> as one string here:</t>
    </r>
  </si>
  <si>
    <t>SHIFT (no rotation) - move an object by a vector defined by two existing positions</t>
  </si>
  <si>
    <r>
      <t xml:space="preserve">For joined objects </t>
    </r>
    <r>
      <rPr>
        <sz val="10"/>
        <rFont val="Arial"/>
      </rPr>
      <t xml:space="preserve">(like bridge, platform, track or road sections), choose their </t>
    </r>
    <r>
      <rPr>
        <b/>
        <sz val="10"/>
        <color indexed="17"/>
        <rFont val="Arial"/>
        <family val="2"/>
      </rPr>
      <t>length</t>
    </r>
    <r>
      <rPr>
        <sz val="10"/>
        <rFont val="Arial"/>
      </rPr>
      <t xml:space="preserve"> (in meters).</t>
    </r>
  </si>
  <si>
    <t>- to precisely orient the first track/road section, optionally placing it horizontally,</t>
  </si>
  <si>
    <r>
      <t>If the start position is known by its latitude/longitude coordinates</t>
    </r>
    <r>
      <rPr>
        <sz val="10"/>
        <rFont val="Arial"/>
        <family val="2"/>
      </rPr>
      <t>, move the camera until you see</t>
    </r>
  </si>
  <si>
    <r>
      <t>You may also use an existing object's coordinates as a start position</t>
    </r>
    <r>
      <rPr>
        <sz val="10"/>
        <rFont val="Arial"/>
        <family val="2"/>
      </rPr>
      <t>:  you can get</t>
    </r>
  </si>
  <si>
    <r>
      <t>You may also use the camera's current position as a start position</t>
    </r>
    <r>
      <rPr>
        <sz val="10"/>
        <rFont val="Arial"/>
        <family val="2"/>
      </rPr>
      <t>:  you can get</t>
    </r>
  </si>
  <si>
    <t xml:space="preserve">the coordinates and tile numbers by reading them off the camera window in RE.  </t>
  </si>
  <si>
    <t>Get the tile numbers from the camera window.</t>
  </si>
  <si>
    <t>q""=q"".q"':</t>
  </si>
  <si>
    <t>For more information and illustrations about this tool, see the documentation.</t>
  </si>
  <si>
    <t>- nose and tail are interchanged</t>
  </si>
  <si>
    <t>In particular, a discussion about using roll, pitch and yaw will be found there.</t>
  </si>
  <si>
    <t>LINE UP - place several objects in a straight line</t>
  </si>
  <si>
    <r>
      <t>Lining up</t>
    </r>
    <r>
      <rPr>
        <sz val="10"/>
        <rFont val="Arial"/>
      </rPr>
      <t xml:space="preserve"> means placing objects in a straight line, </t>
    </r>
  </si>
  <si>
    <t xml:space="preserve">you can line up a series of objects (to make a longer platform or bridge) </t>
  </si>
  <si>
    <t xml:space="preserve">This tool was designed for simple objects (such as bridges, buildings, and track and road sections);  </t>
  </si>
  <si>
    <t xml:space="preserve">Major applications of this tool are the precise alignment of bridges and platforms along tracks or roads, </t>
  </si>
  <si>
    <t>QDir: Parallel sloped:</t>
  </si>
  <si>
    <t>Joining with an S curve means filling a gap with two countercurving dynamic track sections.</t>
  </si>
  <si>
    <t>here are definitions relevant to using fixed world axes (somewhat different from using internal object axes):</t>
  </si>
  <si>
    <t>bank:</t>
  </si>
  <si>
    <r>
      <t>slope:</t>
    </r>
    <r>
      <rPr>
        <sz val="10"/>
        <rFont val="Arial"/>
      </rPr>
      <t xml:space="preserve"> </t>
    </r>
  </si>
  <si>
    <t xml:space="preserve">heading: </t>
  </si>
  <si>
    <r>
      <t xml:space="preserve">- a </t>
    </r>
    <r>
      <rPr>
        <b/>
        <sz val="10"/>
        <rFont val="Arial"/>
        <family val="2"/>
      </rPr>
      <t>sideways tilt</t>
    </r>
    <r>
      <rPr>
        <sz val="10"/>
        <rFont val="Arial"/>
      </rPr>
      <t>, like airplane wings tilting up or down, also called superelevation</t>
    </r>
  </si>
  <si>
    <t>- a positive bank tilts down to the right, as seen from tail to nose</t>
  </si>
  <si>
    <r>
      <t xml:space="preserve">- a </t>
    </r>
    <r>
      <rPr>
        <b/>
        <sz val="10"/>
        <rFont val="Arial"/>
        <family val="2"/>
      </rPr>
      <t>vertical turn</t>
    </r>
    <r>
      <rPr>
        <sz val="10"/>
        <rFont val="Arial"/>
      </rPr>
      <t>, like an airplane's nose moving up or down, also called grade</t>
    </r>
  </si>
  <si>
    <t>- a positive slope moves the nose up and the tail down</t>
  </si>
  <si>
    <r>
      <t xml:space="preserve">- a </t>
    </r>
    <r>
      <rPr>
        <b/>
        <sz val="10"/>
        <rFont val="Arial"/>
        <family val="2"/>
      </rPr>
      <t>horizontal turn</t>
    </r>
    <r>
      <rPr>
        <sz val="10"/>
        <rFont val="Arial"/>
      </rPr>
      <t>, like a plane's nose turning right or left, also called compass direction or bearing</t>
    </r>
  </si>
  <si>
    <t>- zero bank:  no sideways tilt about tail/nose axis</t>
  </si>
  <si>
    <t>- zero slope:  no grade</t>
  </si>
  <si>
    <t>- zero heading:  no change in compass direction</t>
  </si>
  <si>
    <t>- a positive heading turns the nose to the right as seen from above, from north toward east, south and west</t>
  </si>
  <si>
    <t>- sideways tilt about north/south axis - east side goes down as west side goes up, or vice versa</t>
  </si>
  <si>
    <t>- vertical turn about horizontal east/west axis - north end goes up as south end goes down, or vice versa</t>
  </si>
  <si>
    <t>- horizontal turn about vertical axis - the object's "nose" goes right as its "tail" goes left, or vice versa</t>
  </si>
  <si>
    <t>2)  Save the route</t>
  </si>
  <si>
    <r>
      <t>3)  Enter data for the first new dyn. track section</t>
    </r>
    <r>
      <rPr>
        <sz val="10"/>
        <color indexed="9"/>
        <rFont val="Arial"/>
        <family val="2"/>
      </rPr>
      <t>, from the corresponding *.w file</t>
    </r>
  </si>
  <si>
    <t>4)  Specify the tile numbers for the START position</t>
  </si>
  <si>
    <t>You may use latitude/longitude coordinates to place the camera.</t>
  </si>
  <si>
    <t>5)  Specify desired turn radius</t>
  </si>
  <si>
    <t>6)  Move the camera to the END position of the line to be built</t>
  </si>
  <si>
    <t>7)  Specify the tile numbers for the END position</t>
  </si>
  <si>
    <t>8)  Specify the END position's tile coordinates, in one of two ways</t>
  </si>
  <si>
    <t>v1.P1P2=</t>
  </si>
  <si>
    <t>if &gt;0 right turn; if &lt;0 left turn</t>
  </si>
  <si>
    <t>CP2=</t>
  </si>
  <si>
    <t>P1(x,y,z)=</t>
  </si>
  <si>
    <t>P2 selection:</t>
  </si>
  <si>
    <t>|P1P2|=</t>
  </si>
  <si>
    <t>dd=|CP2|=</t>
  </si>
  <si>
    <t>left/right:</t>
  </si>
  <si>
    <t>C=P1+-R*v1=</t>
  </si>
  <si>
    <r>
      <t>copy the resulting turn radius result</t>
    </r>
    <r>
      <rPr>
        <sz val="10"/>
        <rFont val="Arial"/>
        <family val="2"/>
      </rPr>
      <t xml:space="preserve"> to the </t>
    </r>
    <r>
      <rPr>
        <sz val="10"/>
        <color indexed="11"/>
        <rFont val="Arial"/>
        <family val="2"/>
      </rPr>
      <t>green</t>
    </r>
    <r>
      <rPr>
        <sz val="10"/>
        <rFont val="Arial"/>
        <family val="2"/>
      </rPr>
      <t xml:space="preserve"> cell below (use Paste special;  any negative sign has been removed!)</t>
    </r>
  </si>
  <si>
    <t>1)  Specify the curve's desired radius (or degree of curvature)</t>
  </si>
  <si>
    <t>2)  Specify the lateral deviation</t>
  </si>
  <si>
    <t>The lateral deviation is the distance (to the left or right) that the track will deviate from the straight-through line.</t>
  </si>
  <si>
    <t>Enter deviation D here (meters):</t>
  </si>
  <si>
    <t xml:space="preserve">Do not use regular curved track sections, because special angles will be needed: </t>
  </si>
  <si>
    <t>dynamic curved track sections will be needed.</t>
  </si>
  <si>
    <t>radius vs deviation:</t>
  </si>
  <si>
    <t>turn angle A =</t>
  </si>
  <si>
    <t>rad rounded</t>
  </si>
  <si>
    <t>length =</t>
  </si>
  <si>
    <t>(this length is measured along the straight direction, not along the curves)</t>
  </si>
  <si>
    <t>Turn angle =</t>
  </si>
  <si>
    <t>For example, track may need to deviate to pass behind a platform or building.</t>
  </si>
  <si>
    <t>This sheet will produce a turn angle to be used to shape curved dynamic track sections.</t>
  </si>
  <si>
    <r>
      <t xml:space="preserve">This deviation (composed of a pair of left and right curves) has a </t>
    </r>
    <r>
      <rPr>
        <b/>
        <sz val="10"/>
        <rFont val="Arial"/>
        <family val="2"/>
      </rPr>
      <t>length</t>
    </r>
    <r>
      <rPr>
        <sz val="10"/>
        <rFont val="Arial"/>
      </rPr>
      <t xml:space="preserve"> of</t>
    </r>
  </si>
  <si>
    <t>Making a parallel deviation means placing an S-curve that shifts straight track sideways</t>
  </si>
  <si>
    <t>Use this result in RE to shape two dynamic track sections placed to form an S-curve.</t>
  </si>
  <si>
    <t>Data storage:</t>
  </si>
  <si>
    <t>save data for future use</t>
  </si>
  <si>
    <t xml:space="preserve">- save QDirection or Position data until the next use of this tool </t>
  </si>
  <si>
    <t>Choose the left results for a left-turning track or road, or the right results for a right-turning track or road</t>
  </si>
  <si>
    <t>2)  Specify the curve as turn radius/angle (or as chord/degree of curvature)</t>
  </si>
  <si>
    <t>4)  Specify the start position of your curve of track/road sections</t>
  </si>
  <si>
    <t>5)  Save the world tile file(s) and reload the route</t>
  </si>
  <si>
    <t>Position coordinates and Parallel QDirection into steps 1)-4) above</t>
  </si>
  <si>
    <t>q""=qi.q"':</t>
  </si>
  <si>
    <t>The orientation inserted above can be obtained by the following rotations, applied in this sequence:</t>
  </si>
  <si>
    <t>("elevation" is the slope gradient, only used for track and road sections;  see comment above)</t>
  </si>
  <si>
    <t>This tool is protected:  you can only insert the requested numbers, and copy the results.</t>
  </si>
  <si>
    <t>You can quickly tab from one "unlocked" cell to the next.</t>
  </si>
  <si>
    <t>If you accidentally change the content of a result cell, try to Undo the change;</t>
  </si>
  <si>
    <t xml:space="preserve">if that fails, delete the whole Excel file from your hard disk, </t>
  </si>
  <si>
    <t>and start with a new copy from the source zip file.</t>
  </si>
  <si>
    <t>- platform along track</t>
  </si>
  <si>
    <t>- bridge along tracks</t>
  </si>
  <si>
    <t>this option only requires you to copy data from one place in a *.w file to another;</t>
  </si>
  <si>
    <t>1)  First find the object's QDirection (…) line in its world tile file</t>
  </si>
  <si>
    <t xml:space="preserve">Note:  </t>
  </si>
  <si>
    <t>Procedure</t>
  </si>
  <si>
    <t>This option allows you to orient one object exactly parallel to another existing object, including slope.</t>
  </si>
  <si>
    <t>copy its QDirection line (Ctrl-C)</t>
  </si>
  <si>
    <t xml:space="preserve">overwrite its QDirection line (Ctrl-V) </t>
  </si>
  <si>
    <t>save the world tile file</t>
  </si>
  <si>
    <t>If the object does not have the desired orientation, check that you copied the correct QDirection data.</t>
  </si>
  <si>
    <t xml:space="preserve">If the object still does not have the desired orientation, </t>
  </si>
  <si>
    <t xml:space="preserve">place one or more new objects near where they should be (in the same tile) </t>
  </si>
  <si>
    <t>find a new object in the same world tile file</t>
  </si>
  <si>
    <t>repeat these steps for other objects that you want to parallelize</t>
  </si>
  <si>
    <t>reload the route (without saving if the Route Editor asks to save!)</t>
  </si>
  <si>
    <t>adjust the position of the new object(s) (without rotating)</t>
  </si>
  <si>
    <t>you may need to antiparallelize it (flip it nose to tail), or orthogonalize it (turn it 90°):  see options below.</t>
  </si>
  <si>
    <t xml:space="preserve">An example is certain bridges that are by default oriented cross-wise instead of </t>
  </si>
  <si>
    <t xml:space="preserve">length-wise:  to align their long side with track or road requires turning them by 90°. </t>
  </si>
  <si>
    <t>9) Move the new row of objects into position</t>
  </si>
  <si>
    <r>
      <t xml:space="preserve">Select </t>
    </r>
    <r>
      <rPr>
        <u/>
        <sz val="10"/>
        <rFont val="Arial"/>
        <family val="2"/>
      </rPr>
      <t>all the new objects</t>
    </r>
    <r>
      <rPr>
        <sz val="10"/>
        <rFont val="Arial"/>
        <family val="2"/>
      </rPr>
      <t xml:space="preserve">, then move them </t>
    </r>
    <r>
      <rPr>
        <u/>
        <sz val="10"/>
        <rFont val="Arial"/>
        <family val="2"/>
      </rPr>
      <t>all together</t>
    </r>
    <r>
      <rPr>
        <sz val="10"/>
        <rFont val="Arial"/>
        <family val="2"/>
      </rPr>
      <t xml:space="preserve"> to their desired position (without rotations).</t>
    </r>
  </si>
  <si>
    <t>Parallel sloped:</t>
  </si>
  <si>
    <t>Antiparallel sloped:</t>
  </si>
  <si>
    <t>Parallel vertical:</t>
  </si>
  <si>
    <t>Antiparallel vertical:</t>
  </si>
  <si>
    <t>QDir:   Parallel sloped:</t>
  </si>
  <si>
    <t>Copy the above results (in red cells) into the object definition in the proper world tile file.</t>
  </si>
  <si>
    <t>- tracks of type A1tEndPnt5d... have an approximate radius of about 869m.</t>
  </si>
  <si>
    <t>- rotation is to RIGHT when looking down</t>
  </si>
  <si>
    <t>=</t>
  </si>
  <si>
    <r>
      <t>copy the result in degrees</t>
    </r>
    <r>
      <rPr>
        <sz val="10"/>
        <rFont val="Arial"/>
        <family val="2"/>
      </rPr>
      <t xml:space="preserve"> to the </t>
    </r>
    <r>
      <rPr>
        <sz val="10"/>
        <color indexed="11"/>
        <rFont val="Arial"/>
        <family val="2"/>
      </rPr>
      <t>green</t>
    </r>
    <r>
      <rPr>
        <sz val="10"/>
        <rFont val="Arial"/>
        <family val="2"/>
      </rPr>
      <t xml:space="preserve"> angle cell below (use Paste special;  any negative sign has been removed!)</t>
    </r>
  </si>
  <si>
    <r>
      <t>copy the resulting turn radius/angle results</t>
    </r>
    <r>
      <rPr>
        <sz val="10"/>
        <rFont val="Arial"/>
        <family val="2"/>
      </rPr>
      <t xml:space="preserve"> to the </t>
    </r>
    <r>
      <rPr>
        <sz val="10"/>
        <color indexed="11"/>
        <rFont val="Arial"/>
        <family val="2"/>
      </rPr>
      <t>green</t>
    </r>
    <r>
      <rPr>
        <sz val="10"/>
        <rFont val="Arial"/>
        <family val="2"/>
      </rPr>
      <t xml:space="preserve"> cells below (use Paste special;  any negative sign has been removed!)</t>
    </r>
  </si>
  <si>
    <t>° (&lt;0 to left, &gt;0 to right)</t>
  </si>
  <si>
    <t>= -1.570x2</t>
  </si>
  <si>
    <t>= -1.570x3</t>
  </si>
  <si>
    <t>= +1.570x3+</t>
  </si>
  <si>
    <t>= +1.570x2+</t>
  </si>
  <si>
    <t>and do not include any 2m segments in the dynamic track sections.</t>
  </si>
  <si>
    <t xml:space="preserve">     a) </t>
  </si>
  <si>
    <t xml:space="preserve">     b) </t>
  </si>
  <si>
    <t xml:space="preserve">     c) </t>
  </si>
  <si>
    <t xml:space="preserve">     d) </t>
  </si>
  <si>
    <t xml:space="preserve">     e) </t>
  </si>
  <si>
    <t xml:space="preserve">     f) </t>
  </si>
  <si>
    <t xml:space="preserve">     g) </t>
  </si>
  <si>
    <t xml:space="preserve">     h) </t>
  </si>
  <si>
    <t xml:space="preserve">     i) </t>
  </si>
  <si>
    <t xml:space="preserve">     j) </t>
  </si>
  <si>
    <t xml:space="preserve">     k) </t>
  </si>
  <si>
    <t xml:space="preserve">     l) </t>
  </si>
  <si>
    <t xml:space="preserve">     m) </t>
  </si>
  <si>
    <t>NOTES:  if you need to place several dynamic curves, do not combine them into fewer dyn. track sections;</t>
  </si>
  <si>
    <t>9)  Make the dynamic track turn toward the end position</t>
  </si>
  <si>
    <t>toward the end position (it is needed because RE's rounding off</t>
  </si>
  <si>
    <t>the dyn. track angles to 3 decimal places causes a small directional error).</t>
  </si>
  <si>
    <t>(This function does not work with road sections.)</t>
  </si>
  <si>
    <r>
      <t xml:space="preserve">This function is similar to that of the </t>
    </r>
    <r>
      <rPr>
        <b/>
        <sz val="10"/>
        <rFont val="Arial"/>
        <family val="2"/>
      </rPr>
      <t>Aim straight</t>
    </r>
    <r>
      <rPr>
        <sz val="10"/>
        <rFont val="Arial"/>
      </rPr>
      <t xml:space="preserve"> sheet, </t>
    </r>
  </si>
  <si>
    <t>but allows starting from existing track of any orientation.</t>
  </si>
  <si>
    <t>- to precisely orient the first straight track section, optionally placing it horizontally,</t>
  </si>
  <si>
    <t>so you keep the liberty to vary the slope as you lay further track in the RE.</t>
  </si>
  <si>
    <r>
      <t xml:space="preserve">- to produce a line of straight track road sections with the help of the </t>
    </r>
    <r>
      <rPr>
        <b/>
        <sz val="10"/>
        <rFont val="Arial"/>
        <family val="2"/>
      </rPr>
      <t>Line up</t>
    </r>
    <r>
      <rPr>
        <sz val="10"/>
        <rFont val="Arial"/>
      </rPr>
      <t xml:space="preserve"> sheet,</t>
    </r>
  </si>
  <si>
    <t>to avoid irregular slope changes in the curve.</t>
  </si>
  <si>
    <t xml:space="preserve">NOTE:  To produce a track that starts from existing track (of any orientation), </t>
  </si>
  <si>
    <r>
      <t xml:space="preserve">use the </t>
    </r>
    <r>
      <rPr>
        <b/>
        <sz val="10"/>
        <rFont val="Arial"/>
        <family val="2"/>
      </rPr>
      <t>Aim with curve</t>
    </r>
    <r>
      <rPr>
        <sz val="10"/>
        <rFont val="Arial"/>
      </rPr>
      <t xml:space="preserve"> sheet.</t>
    </r>
  </si>
  <si>
    <t>Aim with curve:</t>
  </si>
  <si>
    <t>link existing track to a distant point with a curve followed by straight track</t>
  </si>
  <si>
    <t>- lay a curve from existing track to aim straight for a distant point</t>
  </si>
  <si>
    <t>example:</t>
  </si>
  <si>
    <t xml:space="preserve">The start position is the location of the center of the first object. </t>
  </si>
  <si>
    <t>heading (° &gt;0 to E)</t>
  </si>
  <si>
    <t>3)  Insert ONE non-zero rotation angle (in degrees) in one of the green boxes, setting the others to zero.</t>
  </si>
  <si>
    <t>CREDITS: Bill Burnett, Chris Cyko, Richard Garber, Martyn Griffin, Jim Ward.</t>
  </si>
  <si>
    <t>VERSION HISTORY:</t>
  </si>
  <si>
    <t>1.01:</t>
  </si>
  <si>
    <t>Estimated slopes needed for LEFT turns:</t>
  </si>
  <si>
    <t>Estimated slopes needed for RIGHT turns:</t>
  </si>
  <si>
    <t>slopes = ±</t>
  </si>
  <si>
    <t>results may still be used as a first approximation:  manual adjustment will then</t>
  </si>
  <si>
    <t>be necessary at the very end to try to produce good track-track joints.</t>
  </si>
  <si>
    <t>verify in MSTS order:</t>
  </si>
  <si>
    <t>atan slope:</t>
  </si>
  <si>
    <t>acos bank:</t>
  </si>
  <si>
    <t>atan hdg:</t>
  </si>
  <si>
    <t xml:space="preserve">(001)-&gt; </t>
  </si>
  <si>
    <t xml:space="preserve">(100)-&gt; </t>
  </si>
  <si>
    <t>not needed:</t>
  </si>
  <si>
    <t>Distance from curve to end:</t>
  </si>
  <si>
    <t>Heading from curve to end:</t>
  </si>
  <si>
    <t>Slope from curve to end:</t>
  </si>
  <si>
    <t>Do not change the default settings of the dynamic track (only 2m straight, no slope, no bank).</t>
  </si>
  <si>
    <t>Enter 0 and 1, or 1 and 0 in left column below:</t>
  </si>
  <si>
    <t>Straight track after curve to end position:</t>
  </si>
  <si>
    <r>
      <t>Reminder:</t>
    </r>
    <r>
      <rPr>
        <sz val="10"/>
        <rFont val="Arial"/>
      </rPr>
      <t xml:space="preserve">  for an object we define (from a perspective like that of an airplane's pilot):</t>
    </r>
  </si>
  <si>
    <t>heading (°, &gt;0 to E)</t>
  </si>
  <si>
    <t>bank</t>
  </si>
  <si>
    <t>slope</t>
  </si>
  <si>
    <t>slope theta/2</t>
  </si>
  <si>
    <t>bank psi/2</t>
  </si>
  <si>
    <t>bank (°)</t>
  </si>
  <si>
    <t>sign(sin(bank/2))=sign(q1+q2+q3):</t>
  </si>
  <si>
    <t>- bank will fit track/road slope</t>
  </si>
  <si>
    <t>(However, it will be shifted laterally a bit to allow curving track to fit the width of a bridge better.)</t>
  </si>
  <si>
    <r>
      <t xml:space="preserve">by looking for it in its world tile file (for instructions see the </t>
    </r>
    <r>
      <rPr>
        <b/>
        <sz val="10"/>
        <rFont val="Arial"/>
        <family val="2"/>
      </rPr>
      <t>Guide</t>
    </r>
    <r>
      <rPr>
        <sz val="10"/>
        <rFont val="Arial"/>
      </rPr>
      <t xml:space="preserve"> sheet)</t>
    </r>
  </si>
  <si>
    <r>
      <t xml:space="preserve">Some objects may need </t>
    </r>
    <r>
      <rPr>
        <b/>
        <sz val="10"/>
        <rFont val="Arial"/>
        <family val="2"/>
      </rPr>
      <t>antiparallelizing</t>
    </r>
    <r>
      <rPr>
        <sz val="10"/>
        <rFont val="Arial"/>
      </rPr>
      <t>, which means orienting them in exactly opposite directions.</t>
    </r>
  </si>
  <si>
    <r>
      <t xml:space="preserve">Other objects may need </t>
    </r>
    <r>
      <rPr>
        <b/>
        <sz val="10"/>
        <rFont val="Arial"/>
        <family val="2"/>
      </rPr>
      <t>orthogonalizing</t>
    </r>
    <r>
      <rPr>
        <sz val="10"/>
        <rFont val="Arial"/>
      </rPr>
      <t>, which means turning them by 90° to orient them</t>
    </r>
  </si>
  <si>
    <r>
      <t xml:space="preserve">reload the route </t>
    </r>
    <r>
      <rPr>
        <sz val="10"/>
        <color indexed="10"/>
        <rFont val="Arial"/>
        <family val="2"/>
      </rPr>
      <t>with the Advanced option "Rebuild Track Database"</t>
    </r>
  </si>
  <si>
    <r>
      <t>IMPORTANT</t>
    </r>
    <r>
      <rPr>
        <sz val="10"/>
        <rFont val="Arial"/>
      </rPr>
      <t xml:space="preserve">: if a new object is a track or road section, you must </t>
    </r>
  </si>
  <si>
    <r>
      <t xml:space="preserve">In particular, for </t>
    </r>
    <r>
      <rPr>
        <b/>
        <sz val="10"/>
        <rFont val="Arial"/>
        <family val="2"/>
      </rPr>
      <t>track and road sections</t>
    </r>
    <r>
      <rPr>
        <sz val="10"/>
        <rFont val="Arial"/>
      </rPr>
      <t xml:space="preserve"> (which need to be connected), </t>
    </r>
  </si>
  <si>
    <t>steeper slopes than normally allowed by the MSTS RE are possible</t>
  </si>
  <si>
    <t>(steep slopes are the main use of this sheet for tracks and roads).</t>
  </si>
  <si>
    <t>NOTE:</t>
  </si>
  <si>
    <t>The Grid option also does not work for tracks and roads.</t>
  </si>
  <si>
    <t xml:space="preserve">But that gives a less accurate line orientation, which may be acceptable for </t>
  </si>
  <si>
    <r>
      <t xml:space="preserve">You can produce perfectly aligned objects with much less work by using the </t>
    </r>
    <r>
      <rPr>
        <b/>
        <sz val="10"/>
        <rFont val="Arial"/>
        <family val="2"/>
      </rPr>
      <t>Grid</t>
    </r>
    <r>
      <rPr>
        <sz val="10"/>
        <rFont val="Arial"/>
      </rPr>
      <t xml:space="preserve"> </t>
    </r>
  </si>
  <si>
    <t>START HERE, AND PROCEED STEP BY STEP:</t>
  </si>
  <si>
    <t>Choose whether you will be using the QDirection data from an existing object in a world tile file (*.w),</t>
  </si>
  <si>
    <t>(select the green cell and press Ctrl-V; numbers may flow into other cells):</t>
  </si>
  <si>
    <t>qf0</t>
  </si>
  <si>
    <t>qf1</t>
  </si>
  <si>
    <t>qf2</t>
  </si>
  <si>
    <t>qf3</t>
  </si>
  <si>
    <t>from Orient:</t>
  </si>
  <si>
    <t>selection:</t>
  </si>
  <si>
    <r>
      <t>LIMIT</t>
    </r>
    <r>
      <rPr>
        <sz val="10"/>
        <rFont val="Arial"/>
      </rPr>
      <t>:  enter at most 2047 m.</t>
    </r>
  </si>
  <si>
    <t>Enter spacing or length here:</t>
  </si>
  <si>
    <t>(each tile is 2048 x 2048 m square);  otherwise you may ignore the tile number.</t>
  </si>
  <si>
    <t>and "tile z":</t>
  </si>
  <si>
    <t>Insert "tile x":</t>
  </si>
  <si>
    <t xml:space="preserve">The tile numbers are necessary if you expect your line of objects to run into another tile </t>
  </si>
  <si>
    <t>the accurate orientation of objects, the precise lining up of rows of objects, along a straight or</t>
  </si>
  <si>
    <t>curved line, and the accurate aiming of straight tracks or roads between distant points.</t>
  </si>
  <si>
    <r>
      <t>IMPORTANT</t>
    </r>
    <r>
      <rPr>
        <sz val="10"/>
        <rFont val="Arial"/>
      </rPr>
      <t>: After changing the QDirection of track or road sections,</t>
    </r>
  </si>
  <si>
    <t>Only save the route AFTER you have reloaded it!</t>
  </si>
  <si>
    <t>-958.645 1788.74 389.668</t>
  </si>
  <si>
    <t>563.924 1815.04 -810.308</t>
  </si>
  <si>
    <t>START POSITION</t>
  </si>
  <si>
    <t>END POSITION</t>
  </si>
  <si>
    <r>
      <t>IMPORTANT</t>
    </r>
    <r>
      <rPr>
        <sz val="10"/>
        <rFont val="Arial"/>
      </rPr>
      <t>: do NOT save the route when reloading, or you will lose your changes.</t>
    </r>
  </si>
  <si>
    <t>It is also helpful to mentally "see" rotations in 3D, but I also often use my hands and arms</t>
  </si>
  <si>
    <t>(when nobody is watching me!).</t>
  </si>
  <si>
    <t xml:space="preserve">option of the RE and then adjusting their line orientation by visual rotation </t>
  </si>
  <si>
    <t>of the entire group of objects in the RE.</t>
  </si>
  <si>
    <t>having to deal with the terrain shape:  the track will automatically be under existing ground.</t>
  </si>
  <si>
    <t>936.52 2250.28 -629.617</t>
  </si>
  <si>
    <t>Distance from start to end:</t>
  </si>
  <si>
    <t>Heading:</t>
  </si>
  <si>
    <t>m</t>
  </si>
  <si>
    <t>Slope:</t>
  </si>
  <si>
    <t>This is particularly useful to make a long straight tunnel (without changing the mountain shape)</t>
  </si>
  <si>
    <t>This sheet will produce data that you can use in two ways:</t>
  </si>
  <si>
    <t>so the slope can be precisely set to reach the exact destination altitude.</t>
  </si>
  <si>
    <t>Note:  read the caution about "y" above!</t>
  </si>
  <si>
    <t xml:space="preserve">those coordinates from its world tile file, or by reading them off the object window in RE;  </t>
  </si>
  <si>
    <t>but you still must place the camera nearby to get the "tile x" and "tile z" numbers.</t>
  </si>
  <si>
    <t>But, for track tunnel sections that are already under ground, you need not adjust terrain.</t>
  </si>
  <si>
    <t>0.0123699 0.881001 0.0230698 0.472389</t>
  </si>
  <si>
    <t>-471.947 1 538.74</t>
  </si>
  <si>
    <t xml:space="preserve">the desired latitude and longitude in the Camera window;  then you can read off </t>
  </si>
  <si>
    <t>"tile x", "tile z", "x", "y", and "z" from the Camera window.</t>
  </si>
  <si>
    <t>Choose whether to copy an existing object's Position (x y z) data from its world tile file,</t>
  </si>
  <si>
    <t>or to insert coordinates by hand.</t>
  </si>
  <si>
    <t>You may again use latitude/longitude coordinates to place the camera.</t>
  </si>
  <si>
    <t>(You can drop the camera lower if you press /.)</t>
  </si>
  <si>
    <r>
      <t>Caution</t>
    </r>
    <r>
      <rPr>
        <sz val="10"/>
        <rFont val="Arial"/>
        <family val="2"/>
      </rPr>
      <t xml:space="preserve">:  by default, the camera stays at least 2m above the terrain, </t>
    </r>
  </si>
  <si>
    <t xml:space="preserve">so subtract 2m from its "y" coordinate to obtain the local terrain height!  </t>
  </si>
  <si>
    <t>or to insert camera coordinates by hand.</t>
  </si>
  <si>
    <t>so you keep the liberty to vary the slope as you lay further track/road in the RE.</t>
  </si>
  <si>
    <r>
      <t xml:space="preserve">- to produce a line of straight track or road sections with the help of the </t>
    </r>
    <r>
      <rPr>
        <b/>
        <sz val="10"/>
        <rFont val="Arial"/>
        <family val="2"/>
      </rPr>
      <t>Line up</t>
    </r>
    <r>
      <rPr>
        <sz val="10"/>
        <rFont val="Arial"/>
      </rPr>
      <t xml:space="preserve"> sheet,</t>
    </r>
  </si>
  <si>
    <t>b</t>
  </si>
  <si>
    <t>c</t>
  </si>
  <si>
    <t>d</t>
  </si>
  <si>
    <t>Position coordinates and Parallel QDirection into steps a)-g) above</t>
  </si>
  <si>
    <t>Enter rotation offset here:</t>
  </si>
  <si>
    <t>For bridge sections, you may choose the pier-to-pier distance, to make piers coincide.</t>
  </si>
  <si>
    <t>Enter object width here:</t>
  </si>
  <si>
    <t>m  (this is the full width of a bridge or platform section, for example)</t>
  </si>
  <si>
    <t xml:space="preserve">For off-road and off-track objects (like platforms and lamp posts), </t>
  </si>
  <si>
    <t>enlarge or reduce the radius by the desired distance from the track/road middle line</t>
  </si>
  <si>
    <t>The curve radius defines the circle on which the object centers will be located.</t>
  </si>
  <si>
    <t>For objects that will NOT be joined, use object width = 0 and rotation offset = 0.</t>
  </si>
  <si>
    <t>INPUT:</t>
  </si>
  <si>
    <t>antiparallel</t>
  </si>
  <si>
    <t>0.0249378 0.303929 0.00795865 0.952335</t>
  </si>
  <si>
    <t>(not one number at a time), for instance as "0.0249378 0.303929 0.00795865 0.952335" (without quotes).</t>
  </si>
  <si>
    <t>qn=qi.q -a</t>
  </si>
  <si>
    <t>1)  Find the object's QDirection (…) line in its world tile file</t>
  </si>
  <si>
    <t>2)  Copy (Ctrl-C) the four numbers from QDirection (…) together as one string of characters</t>
  </si>
  <si>
    <t>3)  Insert QDirection's four numbers in the green cell</t>
  </si>
  <si>
    <t>Parallelizing one object to another object</t>
  </si>
  <si>
    <t>no calculation with this Object Rotator tool is needed.</t>
  </si>
  <si>
    <t>for more details about the procedure, see the Object Rotator documentation.</t>
  </si>
  <si>
    <t>5)  Paste the result into the object's QDirection (…) line (between the parentheses)</t>
  </si>
  <si>
    <t>To make objects (like bridges and platforms) join together properly, their width and center of rotation must be known.</t>
  </si>
  <si>
    <t>The documentation explains how to measure these dimensions.</t>
  </si>
  <si>
    <t>beta</t>
  </si>
  <si>
    <t>lat. shift u</t>
  </si>
  <si>
    <t>corner radius</t>
  </si>
  <si>
    <t>a=2gam</t>
  </si>
  <si>
    <t>|di|</t>
  </si>
  <si>
    <t>dix</t>
  </si>
  <si>
    <t>diy</t>
  </si>
  <si>
    <t>diz</t>
  </si>
  <si>
    <t>dpx</t>
  </si>
  <si>
    <t>dpy</t>
  </si>
  <si>
    <t>dpz</t>
  </si>
  <si>
    <t>|dp|</t>
  </si>
  <si>
    <t>perp to di:</t>
  </si>
  <si>
    <t>l.|di|</t>
  </si>
  <si>
    <t>l.dix</t>
  </si>
  <si>
    <t>l.diy</t>
  </si>
  <si>
    <t>l.diz</t>
  </si>
  <si>
    <t>|dci|</t>
  </si>
  <si>
    <t>dcix</t>
  </si>
  <si>
    <t>dciy</t>
  </si>
  <si>
    <t>dciz</t>
  </si>
  <si>
    <t>|dcn|</t>
  </si>
  <si>
    <t>dcnx</t>
  </si>
  <si>
    <t>dcny</t>
  </si>
  <si>
    <t>dcnz</t>
  </si>
  <si>
    <t>initial direction</t>
  </si>
  <si>
    <t>init. dir. x length</t>
  </si>
  <si>
    <t>sign turn:</t>
  </si>
  <si>
    <t>a/2=sign*gam</t>
  </si>
  <si>
    <t xml:space="preserve">rc=rot ctr rad </t>
  </si>
  <si>
    <t>del=rot ctr * sign</t>
  </si>
  <si>
    <t>a/2+del</t>
  </si>
  <si>
    <t>1st to 2nd rot ctr</t>
  </si>
  <si>
    <t>rel pos'n of 1st rot ctr</t>
  </si>
  <si>
    <t>dcn</t>
  </si>
  <si>
    <t>and to create a long track/road with a constant slope.</t>
  </si>
  <si>
    <t>It is used to modify an object's QDirection and/or Position in world tile files (*.w).</t>
  </si>
  <si>
    <t xml:space="preserve">it has not been tested with complex or interactive track objects </t>
  </si>
  <si>
    <t xml:space="preserve">and especially difficult in the MSTS Route Editor (RE):  the RE tools for rotations are </t>
  </si>
  <si>
    <t xml:space="preserve">not precise, making it hard to align objects accurately.  But note that precise rotations </t>
  </si>
  <si>
    <t xml:space="preserve">The reason for offering this tool is that rotating rigid objects is generally complicated, </t>
  </si>
  <si>
    <t>FUNCTIONS OF THIS TOOL (click on the corresponding tab at the bottom of these sheets):</t>
  </si>
  <si>
    <r>
      <t>WARNING for RIGHT turns:</t>
    </r>
    <r>
      <rPr>
        <sz val="10"/>
        <rFont val="Arial"/>
      </rPr>
      <t xml:space="preserve">  to adjust length, radius or turn angle, first press T to reverse a right turn into a LEFT turn, </t>
    </r>
  </si>
  <si>
    <t>then make the adjustments, then press T again to get a RIGHT turn, and finally reset the slope.</t>
  </si>
  <si>
    <t>join two parallel tracks with an S-curve</t>
  </si>
  <si>
    <t>join two non-parallel tracks with a single curve</t>
  </si>
  <si>
    <t>S JOINT - join two parallel tracks with an S curve</t>
  </si>
  <si>
    <t>CURVED JOINT - join two non-parallel tracks with a single left curve</t>
  </si>
  <si>
    <t xml:space="preserve">If the tracks are on slightly different levels, the results may still be used </t>
  </si>
  <si>
    <t>at the very end to try to produce good track-track joints.</t>
  </si>
  <si>
    <t xml:space="preserve">as a first approximation:  a manual adjustment of slopes should then be applied </t>
  </si>
  <si>
    <t>IMPORTANT:  Choose this gap end so that a LEFT curve will lead to the other end of the gap!</t>
  </si>
  <si>
    <t>or to insert start coordinates by hand.</t>
  </si>
  <si>
    <r>
      <t xml:space="preserve">the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sheet, set all rotation angles there to zero, and copy the </t>
    </r>
  </si>
  <si>
    <r>
      <t xml:space="preserve">QDirection data from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 into the green cell above.</t>
    </r>
  </si>
  <si>
    <t>The start position is given in tile coordinates:</t>
  </si>
  <si>
    <t>1)  Specify the first curve orientation</t>
  </si>
  <si>
    <t>The first curve orientation is given by its QDirection, including its slope (and possibly bank)</t>
  </si>
  <si>
    <t>2)  Specify the first curve's radius/angle (or chord/degree of curvature)</t>
  </si>
  <si>
    <t>3)  Specify the first curve's tile numbers</t>
  </si>
  <si>
    <t>4)  Specify the start position of the first curve</t>
  </si>
  <si>
    <t>countercurve start T+E'(r+R)/R=</t>
  </si>
  <si>
    <t>Enter turn radius r here (meters):</t>
  </si>
  <si>
    <t>Enter turn radius R here (meters):</t>
  </si>
  <si>
    <r>
      <t>Position</t>
    </r>
    <r>
      <rPr>
        <sz val="10"/>
        <rFont val="Arial"/>
      </rPr>
      <t xml:space="preserve"> of countercurve:</t>
    </r>
  </si>
  <si>
    <r>
      <t>QDirection</t>
    </r>
    <r>
      <rPr>
        <sz val="10"/>
        <rFont val="Arial"/>
      </rPr>
      <t xml:space="preserve"> of countercurve:</t>
    </r>
  </si>
  <si>
    <t xml:space="preserve">This is useful particularly for (regular or dynamic) tracks that have large slopes, </t>
  </si>
  <si>
    <r>
      <t xml:space="preserve">If you need a precise heading (compass orientation), use the </t>
    </r>
    <r>
      <rPr>
        <b/>
        <sz val="10"/>
        <rFont val="Arial"/>
        <family val="2"/>
      </rPr>
      <t>Turn around world axes</t>
    </r>
    <r>
      <rPr>
        <sz val="10"/>
        <rFont val="Arial"/>
      </rPr>
      <t xml:space="preserve"> external sheet.</t>
    </r>
  </si>
  <si>
    <r>
      <t xml:space="preserve">or whether you will define the direction through bank/slope/heading angles on the </t>
    </r>
    <r>
      <rPr>
        <b/>
        <sz val="10"/>
        <rFont val="Arial"/>
        <family val="2"/>
      </rPr>
      <t>Turn about world axes</t>
    </r>
    <r>
      <rPr>
        <sz val="10"/>
        <rFont val="Arial"/>
      </rPr>
      <t xml:space="preserve"> sheet;</t>
    </r>
  </si>
  <si>
    <r>
      <t xml:space="preserve"> </t>
    </r>
    <r>
      <rPr>
        <b/>
        <sz val="10"/>
        <color indexed="9"/>
        <rFont val="Arial"/>
        <family val="2"/>
      </rPr>
      <t>insert angles on the Turn about world axes sheet</t>
    </r>
    <r>
      <rPr>
        <sz val="10"/>
        <color indexed="9"/>
        <rFont val="Arial"/>
        <family val="2"/>
      </rPr>
      <t xml:space="preserve">;  </t>
    </r>
  </si>
  <si>
    <t>heading (nose right &gt;0°):</t>
  </si>
  <si>
    <r>
      <t xml:space="preserve">or whether you will define the initial direction through slope/heading angles on the </t>
    </r>
    <r>
      <rPr>
        <b/>
        <sz val="10"/>
        <rFont val="Arial"/>
        <family val="2"/>
      </rPr>
      <t>Turn about world axes</t>
    </r>
    <r>
      <rPr>
        <sz val="10"/>
        <rFont val="Arial"/>
      </rPr>
      <t xml:space="preserve"> sheet.</t>
    </r>
  </si>
  <si>
    <r>
      <t xml:space="preserve"> </t>
    </r>
    <r>
      <rPr>
        <b/>
        <sz val="10"/>
        <color indexed="9"/>
        <rFont val="Arial"/>
        <family val="2"/>
      </rPr>
      <t>insert angles in the Turn about world axes sheet</t>
    </r>
    <r>
      <rPr>
        <sz val="10"/>
        <color indexed="9"/>
        <rFont val="Arial"/>
        <family val="2"/>
      </rPr>
      <t>;  then QDirection data will come automatically from that sheet</t>
    </r>
  </si>
  <si>
    <t>for example, it can be the heading and slope of track or road just BEFORE it starts turning.</t>
  </si>
  <si>
    <t>NOTE: if all 3 numbers below are &lt;0, precede them by ' (example: '-25.73 -47.561 -850.546)</t>
  </si>
  <si>
    <t>specify its initial tile numbers:</t>
  </si>
  <si>
    <t>copy its three Position numbers from a *.w file as one string here:</t>
  </si>
  <si>
    <t xml:space="preserve">tilex, tiley (if changed, place object in new tile) = </t>
  </si>
  <si>
    <r>
      <t>paste three Position numbers</t>
    </r>
    <r>
      <rPr>
        <sz val="10"/>
        <color indexed="9"/>
        <rFont val="Arial"/>
        <family val="2"/>
      </rPr>
      <t xml:space="preserve"> as one string here:</t>
    </r>
  </si>
  <si>
    <t>is existing section L = left curve, S = straight, or R = right curve?</t>
  </si>
  <si>
    <t>Enter turn radius r1 here (meters):</t>
  </si>
  <si>
    <t>Enter turn angle A1 here (degrees):</t>
  </si>
  <si>
    <r>
      <t xml:space="preserve">for a </t>
    </r>
    <r>
      <rPr>
        <b/>
        <sz val="10"/>
        <rFont val="Arial"/>
        <family val="2"/>
      </rPr>
      <t>LEFT</t>
    </r>
    <r>
      <rPr>
        <b/>
        <sz val="10"/>
        <color indexed="9"/>
        <rFont val="Arial"/>
        <family val="2"/>
      </rPr>
      <t xml:space="preserve"> curve only, enter its radius (in meters) and turn angle (in degrees) here</t>
    </r>
  </si>
  <si>
    <r>
      <t xml:space="preserve">for a </t>
    </r>
    <r>
      <rPr>
        <b/>
        <sz val="10"/>
        <rFont val="Arial"/>
        <family val="2"/>
      </rPr>
      <t>STRAIGHT</t>
    </r>
    <r>
      <rPr>
        <b/>
        <sz val="10"/>
        <color indexed="9"/>
        <rFont val="Arial"/>
        <family val="2"/>
      </rPr>
      <t xml:space="preserve"> section only, enter its length (in meters) here</t>
    </r>
  </si>
  <si>
    <t>Enter length d1 here (meters):</t>
  </si>
  <si>
    <r>
      <t xml:space="preserve">for a </t>
    </r>
    <r>
      <rPr>
        <b/>
        <sz val="10"/>
        <rFont val="Arial"/>
        <family val="2"/>
      </rPr>
      <t>RIGHT</t>
    </r>
    <r>
      <rPr>
        <b/>
        <sz val="10"/>
        <color indexed="9"/>
        <rFont val="Arial"/>
        <family val="2"/>
      </rPr>
      <t xml:space="preserve"> curve, NO further data are needed: skip to next section</t>
    </r>
  </si>
  <si>
    <t>will next section be L = left curve, S = straight, or R = right curve?</t>
  </si>
  <si>
    <t>Enter turn radius r2 here (meters):</t>
  </si>
  <si>
    <t>Enter turn angle A2 here (degrees):</t>
  </si>
  <si>
    <r>
      <t xml:space="preserve">for a </t>
    </r>
    <r>
      <rPr>
        <b/>
        <sz val="10"/>
        <rFont val="Arial"/>
        <family val="2"/>
      </rPr>
      <t>LEFT OR RIGHT</t>
    </r>
    <r>
      <rPr>
        <b/>
        <sz val="10"/>
        <color indexed="9"/>
        <rFont val="Arial"/>
        <family val="2"/>
      </rPr>
      <t xml:space="preserve"> curve, enter its radius (in meters) and turn angle (in degrees) here</t>
    </r>
  </si>
  <si>
    <t>either:</t>
  </si>
  <si>
    <t>or:</t>
  </si>
  <si>
    <t>x1,y1,z1=</t>
  </si>
  <si>
    <t>x3,y3,z3=</t>
  </si>
  <si>
    <t>sinA1=</t>
  </si>
  <si>
    <t>1-cosA1=</t>
  </si>
  <si>
    <t>qA1(MSTS)=</t>
  </si>
  <si>
    <t>cos(A1/2)=</t>
  </si>
  <si>
    <t>sin(A1/2)=</t>
  </si>
  <si>
    <t>q1(MSTS)=</t>
  </si>
  <si>
    <t>cos(A2/2)=</t>
  </si>
  <si>
    <t>q2'(MSTS)=antipar(q2")=</t>
  </si>
  <si>
    <t>S1E1'x,S1E1'y,S1E1'z=</t>
  </si>
  <si>
    <t>1-cosA2=</t>
  </si>
  <si>
    <t>sinA2=</t>
  </si>
  <si>
    <t>S2E2'x,S2E2'y,S2E2'z=</t>
  </si>
  <si>
    <t>P2x,P2y,P2z=</t>
  </si>
  <si>
    <t>P1x,P1y,P1z=</t>
  </si>
  <si>
    <t>P2'x,P2'y,P2'z=</t>
  </si>
  <si>
    <t>sin(-A2/2)=</t>
  </si>
  <si>
    <r>
      <t xml:space="preserve">to convert from feet, radians, chord or degree of curvature, see section 2) of the </t>
    </r>
    <r>
      <rPr>
        <b/>
        <sz val="10"/>
        <rFont val="Arial"/>
        <family val="2"/>
      </rPr>
      <t>S-countercurve</t>
    </r>
    <r>
      <rPr>
        <sz val="10"/>
        <rFont val="Arial"/>
      </rPr>
      <t xml:space="preserve"> sheet,</t>
    </r>
  </si>
  <si>
    <r>
      <t xml:space="preserve">to convert from feet, see section 2) of the </t>
    </r>
    <r>
      <rPr>
        <b/>
        <sz val="10"/>
        <rFont val="Arial"/>
        <family val="2"/>
      </rPr>
      <t>S-countercurve</t>
    </r>
    <r>
      <rPr>
        <sz val="10"/>
        <rFont val="Arial"/>
      </rPr>
      <t xml:space="preserve"> sheet,</t>
    </r>
  </si>
  <si>
    <t>and copy the result to the box below (using Paste Special - Values)</t>
  </si>
  <si>
    <t>and copy the result to the boxes below (using Paste Special - Values)</t>
  </si>
  <si>
    <t>(you should include the slope of the object through the slope or bank angle).</t>
  </si>
  <si>
    <t>TIP:  it is often good to choose a shorther length and make objects overlap.</t>
  </si>
  <si>
    <r>
      <t xml:space="preserve">To find an object's tile numbers, see the </t>
    </r>
    <r>
      <rPr>
        <b/>
        <sz val="10"/>
        <rFont val="Arial"/>
        <family val="2"/>
      </rPr>
      <t>Guide</t>
    </r>
    <r>
      <rPr>
        <sz val="10"/>
        <rFont val="Arial"/>
      </rPr>
      <t xml:space="preserve"> sheet.</t>
    </r>
  </si>
  <si>
    <t xml:space="preserve">      </t>
  </si>
  <si>
    <t>- long side will line up with track/road</t>
  </si>
  <si>
    <t>- slope will fit track/road</t>
  </si>
  <si>
    <t>- press Ctrl-C;</t>
  </si>
  <si>
    <t>- select the destination cell;</t>
  </si>
  <si>
    <t>- right click;</t>
  </si>
  <si>
    <t>- select "Paste Special…";</t>
  </si>
  <si>
    <t>- select Paste Values;</t>
  </si>
  <si>
    <t>- press OK.</t>
  </si>
  <si>
    <t>(such as forests, signals, level crossings, mileposts and gantries).</t>
  </si>
  <si>
    <t>- save the route;</t>
  </si>
  <si>
    <t>ROLLERCOASTER CURVES - smoothly continue steep rollercoaster tracks</t>
  </si>
  <si>
    <t>1)  Enter data for an EXISTING dynamic track section</t>
  </si>
  <si>
    <t>L</t>
  </si>
  <si>
    <t>Enter length l1 here (meters):</t>
  </si>
  <si>
    <r>
      <t>m (</t>
    </r>
    <r>
      <rPr>
        <sz val="10"/>
        <color indexed="10"/>
        <rFont val="Arial"/>
        <family val="2"/>
      </rPr>
      <t>max 200</t>
    </r>
    <r>
      <rPr>
        <sz val="10"/>
        <rFont val="Arial"/>
      </rPr>
      <t>)</t>
    </r>
  </si>
  <si>
    <r>
      <t xml:space="preserve">to convert from feet, degrees, chord or degree of curvature, see section 2) of the </t>
    </r>
    <r>
      <rPr>
        <b/>
        <sz val="10"/>
        <rFont val="Arial"/>
        <family val="2"/>
      </rPr>
      <t>S-countercurve</t>
    </r>
    <r>
      <rPr>
        <sz val="10"/>
        <rFont val="Arial"/>
      </rPr>
      <t xml:space="preserve"> sheet,</t>
    </r>
  </si>
  <si>
    <t>Enter turn angle A1 here (radians):</t>
  </si>
  <si>
    <r>
      <t>rad (</t>
    </r>
    <r>
      <rPr>
        <sz val="10"/>
        <color indexed="10"/>
        <rFont val="Arial"/>
        <family val="2"/>
      </rPr>
      <t>negative</t>
    </r>
    <r>
      <rPr>
        <sz val="10"/>
        <rFont val="Arial"/>
      </rPr>
      <t>)</t>
    </r>
  </si>
  <si>
    <r>
      <t xml:space="preserve">enter the radius (in meters) and turn angle (in radians) of its </t>
    </r>
    <r>
      <rPr>
        <b/>
        <sz val="10"/>
        <rFont val="Arial"/>
        <family val="2"/>
      </rPr>
      <t>FIRST CURVED SEGMENT</t>
    </r>
    <r>
      <rPr>
        <b/>
        <sz val="10"/>
        <color indexed="9"/>
        <rFont val="Arial"/>
        <family val="2"/>
      </rPr>
      <t xml:space="preserve"> here</t>
    </r>
  </si>
  <si>
    <r>
      <t xml:space="preserve">enter the length (in meters) of its </t>
    </r>
    <r>
      <rPr>
        <b/>
        <sz val="10"/>
        <rFont val="Arial"/>
        <family val="2"/>
      </rPr>
      <t>FIRST STRAIGHT SEGMENT</t>
    </r>
    <r>
      <rPr>
        <b/>
        <sz val="10"/>
        <color indexed="9"/>
        <rFont val="Arial"/>
        <family val="2"/>
      </rPr>
      <t xml:space="preserve"> here</t>
    </r>
  </si>
  <si>
    <r>
      <t xml:space="preserve">enter the length (in meters) of its </t>
    </r>
    <r>
      <rPr>
        <b/>
        <sz val="10"/>
        <rFont val="Arial"/>
        <family val="2"/>
      </rPr>
      <t>SECOND STRAIGHT SEGMENT</t>
    </r>
    <r>
      <rPr>
        <b/>
        <sz val="10"/>
        <color indexed="9"/>
        <rFont val="Arial"/>
        <family val="2"/>
      </rPr>
      <t xml:space="preserve"> here</t>
    </r>
  </si>
  <si>
    <t>Enter length l2 here (meters):</t>
  </si>
  <si>
    <r>
      <t xml:space="preserve">enter the radius (in meters) and turn angle (in radians) of its </t>
    </r>
    <r>
      <rPr>
        <b/>
        <sz val="10"/>
        <rFont val="Arial"/>
        <family val="2"/>
      </rPr>
      <t>SECOND CURVED SEGMENT</t>
    </r>
    <r>
      <rPr>
        <b/>
        <sz val="10"/>
        <color indexed="9"/>
        <rFont val="Arial"/>
        <family val="2"/>
      </rPr>
      <t xml:space="preserve"> here</t>
    </r>
  </si>
  <si>
    <t>Enter turn angle A2 here (radians):</t>
  </si>
  <si>
    <r>
      <t xml:space="preserve">enter the length (in meters) of its </t>
    </r>
    <r>
      <rPr>
        <b/>
        <sz val="10"/>
        <rFont val="Arial"/>
        <family val="2"/>
      </rPr>
      <t>THIRD STRAIGHT SEGMENT</t>
    </r>
    <r>
      <rPr>
        <b/>
        <sz val="10"/>
        <color indexed="9"/>
        <rFont val="Arial"/>
        <family val="2"/>
      </rPr>
      <t xml:space="preserve"> here</t>
    </r>
  </si>
  <si>
    <t>Enter length l3 here (meters):</t>
  </si>
  <si>
    <t>is existing section L = left curve, or R = right curve (reversed)?</t>
  </si>
  <si>
    <t>IMPORTANT:  in the following enter 0's for each unused dynamic track segment!</t>
  </si>
  <si>
    <t>1st straight:</t>
  </si>
  <si>
    <t>Ps1=</t>
  </si>
  <si>
    <t>1st curve:</t>
  </si>
  <si>
    <t>sin(-A1/2)=</t>
  </si>
  <si>
    <t>qc1(MSTS)=q1.qA1=</t>
  </si>
  <si>
    <t>sin-A1=</t>
  </si>
  <si>
    <t>Ps1Pc1=</t>
  </si>
  <si>
    <t>Pc1=</t>
  </si>
  <si>
    <t>2nd straight:</t>
  </si>
  <si>
    <t>Ps2=</t>
  </si>
  <si>
    <t>2nd curve:</t>
  </si>
  <si>
    <t>qA2(MSTS)=</t>
  </si>
  <si>
    <t>qc1(MSTS)=</t>
  </si>
  <si>
    <t>sin-A2=</t>
  </si>
  <si>
    <t>Ps2Pc2=</t>
  </si>
  <si>
    <t>Pc2=</t>
  </si>
  <si>
    <t>3rd straight:</t>
  </si>
  <si>
    <t>rotate q2' by q1:</t>
  </si>
  <si>
    <t>q2'(MSTS)=</t>
  </si>
  <si>
    <t>rotate P1'P2' by q1:</t>
  </si>
  <si>
    <t>P1'=</t>
  </si>
  <si>
    <t>q1'(MSTS)=</t>
  </si>
  <si>
    <t>q2'(MSTS)=qc1.qA2=</t>
  </si>
  <si>
    <t>P2'=P1'P2'=</t>
  </si>
  <si>
    <t>(001)-&gt;x3,y3,z3=</t>
  </si>
  <si>
    <t>(100)-&gt;x1,y1,z1=</t>
  </si>
  <si>
    <t>P1P2=</t>
  </si>
  <si>
    <t>P2=P1+P1P2=</t>
  </si>
  <si>
    <t>q2(MSTS)=q2'.q1=</t>
  </si>
  <si>
    <t>- follow the instructions on that sheet;</t>
  </si>
  <si>
    <t>- get data from the route's world tile file containing those new objects;</t>
  </si>
  <si>
    <t xml:space="preserve">- search for the x coordinate of the object in the file:  it should appear as the first number </t>
  </si>
  <si>
    <t>in a line called Position ( …);</t>
  </si>
  <si>
    <t>you should also recognize the object name in FileName ( …);</t>
  </si>
  <si>
    <t>- with this tool, Object Rotator, you will use and/or change the numbers appearing in QDirection ( …)</t>
  </si>
  <si>
    <t>and/or Position ( …) for this object.</t>
  </si>
  <si>
    <t>- select the cell containing the result (left-click in the cell);</t>
  </si>
  <si>
    <t>- select the object (press F2, then left-click to select the object, so its data show up in the Object window);</t>
  </si>
  <si>
    <r>
      <t>CAUTION:</t>
    </r>
    <r>
      <rPr>
        <sz val="10"/>
        <rFont val="Arial"/>
      </rPr>
      <t xml:space="preserve">  RE's rounding of the angle to 3 decimal places results in a deviation by</t>
    </r>
  </si>
  <si>
    <t>4)  Copy (Ctrl-C) the four numbers from QDirection (…) together as one string of characters</t>
  </si>
  <si>
    <t>5)  Insert QDirection's four numbers in the green cell</t>
  </si>
  <si>
    <r>
      <t xml:space="preserve">6)  Copy (Ctrl-C) the contents of the desired </t>
    </r>
    <r>
      <rPr>
        <b/>
        <sz val="10"/>
        <color indexed="10"/>
        <rFont val="Arial"/>
        <family val="2"/>
      </rPr>
      <t>RESULT</t>
    </r>
    <r>
      <rPr>
        <b/>
        <sz val="10"/>
        <color indexed="9"/>
        <rFont val="Arial"/>
        <family val="2"/>
      </rPr>
      <t xml:space="preserve"> cell</t>
    </r>
  </si>
  <si>
    <t>7)  Paste the result into the object's QDirection (…) line (between the parentheses)</t>
  </si>
  <si>
    <t>1)  Place an object at its desired position near the other object</t>
  </si>
  <si>
    <t>2)  Rotate it around its vertical axis to the desired compass direction, and save the route</t>
  </si>
  <si>
    <t>3)  Find the object's QDirection (…) line in its world tile file</t>
  </si>
  <si>
    <t>6)  Find the OTHER object's QDirection (…) line in its world tile file</t>
  </si>
  <si>
    <t>7)  Copy (Ctrl-C) the four numbers from QDirection (…) together as one string of characters</t>
  </si>
  <si>
    <t>8)  Insert QDirection's four numbers in the green cell</t>
  </si>
  <si>
    <t>SET PARALLEL - rotate an object to be parallel to existing tracks/roads/objects</t>
  </si>
  <si>
    <t>SET ANTIPARALLEL - flip an object "nose to tail"</t>
  </si>
  <si>
    <t>-121.199 1 744.522</t>
  </si>
  <si>
    <r>
      <t>Setting antiparallel</t>
    </r>
    <r>
      <rPr>
        <sz val="10"/>
        <rFont val="Arial"/>
      </rPr>
      <t xml:space="preserve"> means orienting objects in exactly opposite directions, including opposite slope and bank: "nose to tail".</t>
    </r>
  </si>
  <si>
    <r>
      <t>Set parallel</t>
    </r>
    <r>
      <rPr>
        <sz val="10"/>
        <rFont val="Arial"/>
      </rPr>
      <t xml:space="preserve"> two objects means orienting them in exactly the same direction, including any slope.</t>
    </r>
  </si>
  <si>
    <t>LAY ACROSS - rotate an object to be perpendicular to existing tracks/roads/objects</t>
  </si>
  <si>
    <r>
      <t>Laying across</t>
    </r>
    <r>
      <rPr>
        <sz val="10"/>
        <rFont val="Arial"/>
      </rPr>
      <t xml:space="preserve"> means orienting objects cross-wise to each other, such as a road bridge across tracks.</t>
    </r>
  </si>
  <si>
    <t>it allows orienting the individual objects parallel to, antiparallel to or across the straight line.</t>
  </si>
  <si>
    <t>for different orientations: Parallel, Antiparallel, Across +90° and -90°, both vertical and tilted to fit</t>
  </si>
  <si>
    <t>Across +90° banked:</t>
  </si>
  <si>
    <t>Across -90° banked:</t>
  </si>
  <si>
    <t>Across +90° vertical:</t>
  </si>
  <si>
    <t>Across -90° vertical:</t>
  </si>
  <si>
    <t>it allows orienting the individual objects parallel to or across the curve/screw;</t>
  </si>
  <si>
    <t>Across +90°:</t>
  </si>
  <si>
    <t>Across -90°:</t>
  </si>
  <si>
    <t>CURVED TRACK &amp; ROAD - place several track and road sections along a curve</t>
  </si>
  <si>
    <t>AIM STRAIGHT - link distant points by a straight track or road</t>
  </si>
  <si>
    <r>
      <t>Aiming straight</t>
    </r>
    <r>
      <rPr>
        <sz val="10"/>
        <rFont val="Arial"/>
      </rPr>
      <t xml:space="preserve"> means aligning objects (typically track or road sections) </t>
    </r>
  </si>
  <si>
    <t>to form a straight line between points that are far apart.</t>
  </si>
  <si>
    <t>VERY IMPORTANT:</t>
  </si>
  <si>
    <t>Thus:</t>
  </si>
  <si>
    <t>Then select the rotations in the proper order in the list below.</t>
  </si>
  <si>
    <t>FIRST ROTATION</t>
  </si>
  <si>
    <t>Note:</t>
  </si>
  <si>
    <t>q0-&gt;q2</t>
  </si>
  <si>
    <t>q1-&gt;q1</t>
  </si>
  <si>
    <t>q2-&gt;q3</t>
  </si>
  <si>
    <t>q3-&gt;q0</t>
  </si>
  <si>
    <t>MSTS order:</t>
  </si>
  <si>
    <t>SECOND ROTATION</t>
  </si>
  <si>
    <t>q0'-&gt;q0"-&gt;q2"</t>
  </si>
  <si>
    <t>q1'-&gt;q1"-&gt;q1"</t>
  </si>
  <si>
    <t>q2'-&gt;q2"-&gt;q3"</t>
  </si>
  <si>
    <t>q3'-&gt;q3"-&gt;q0"</t>
  </si>
  <si>
    <t>q"=q.q':</t>
  </si>
  <si>
    <t>q' math order:</t>
  </si>
  <si>
    <t>q math order:</t>
  </si>
  <si>
    <t>q MSTS order:</t>
  </si>
  <si>
    <t>(choose one only)</t>
  </si>
  <si>
    <t>THIRD ROTATION</t>
  </si>
  <si>
    <t>q0"'-&gt;q0""-&gt;q2""</t>
  </si>
  <si>
    <t>q1"'-&gt;q1""-&gt;q1""</t>
  </si>
  <si>
    <t>q2"'-&gt;q2""-&gt;q3""</t>
  </si>
  <si>
    <t>q3"'-&gt;q3""-&gt;q0""</t>
  </si>
  <si>
    <t>q"' math order:</t>
  </si>
  <si>
    <t>q""=q".q"':</t>
  </si>
  <si>
    <t>verify in</t>
  </si>
  <si>
    <t xml:space="preserve">MSTS </t>
  </si>
  <si>
    <t>order:</t>
  </si>
  <si>
    <t>verify z-axis</t>
  </si>
  <si>
    <t>x,y,z:</t>
  </si>
  <si>
    <t>verify x-axis</t>
  </si>
  <si>
    <t>verify y-axis</t>
  </si>
  <si>
    <t xml:space="preserve">use </t>
  </si>
  <si>
    <t>bank=5</t>
  </si>
  <si>
    <t>slope=0</t>
  </si>
  <si>
    <t>heading=45</t>
  </si>
  <si>
    <t>RESULT:</t>
  </si>
  <si>
    <t>QDirection =</t>
  </si>
  <si>
    <t>The ORDER of rotations must be chosen very carefully:</t>
  </si>
  <si>
    <t>(others to be zero)</t>
  </si>
  <si>
    <t>slope (°)</t>
  </si>
  <si>
    <t>slope (gradient="elev"; track max 0.05236)</t>
  </si>
  <si>
    <t>USEFUL RELATED ORIENTATIONS</t>
  </si>
  <si>
    <t>Starting from the above result, other related orientations are automatically generated and made available below.</t>
  </si>
  <si>
    <t>q5 math order:</t>
  </si>
  <si>
    <t>q05-&gt;q06-&gt;q26</t>
  </si>
  <si>
    <t>q15-&gt;q16-&gt;q16</t>
  </si>
  <si>
    <t>q25-&gt;q26-&gt;q36</t>
  </si>
  <si>
    <t>q35-&gt;q36-&gt;q06</t>
  </si>
  <si>
    <t>q6=q"".q5:</t>
  </si>
  <si>
    <t>- object fits the same terrain slope</t>
  </si>
  <si>
    <t>- object fits terrain with opposite slope</t>
  </si>
  <si>
    <t>- nose stays up, or stays down</t>
  </si>
  <si>
    <t>get slope</t>
  </si>
  <si>
    <t>get bank</t>
  </si>
  <si>
    <t>0.000000 -0.707107 0.000000 0.707107</t>
  </si>
  <si>
    <t>East QDirection with bank, slope, heading: 0, 0, 90°</t>
  </si>
  <si>
    <t>QDirection for bank, slope, heading: 5, 2, -45°</t>
  </si>
  <si>
    <t>QDirection for bank, slope, heading: 0, 3, -35.4°</t>
  </si>
  <si>
    <t>0.707107 0.000000 0.000000 0.707107</t>
  </si>
  <si>
    <t>Vertical QDirection with bank, slope, heading: 0, 90, 0°</t>
  </si>
  <si>
    <t>qi for east (math order)</t>
  </si>
  <si>
    <t>Default north QDirection with bank, slope, heading: 0, 0, 0°</t>
  </si>
  <si>
    <t>(vertical)</t>
  </si>
  <si>
    <t>(east)</t>
  </si>
  <si>
    <t>qi for vertical (math order)</t>
  </si>
  <si>
    <t>Note:  angles are like those seen by an airplane pilot in the object's "cockpit".</t>
  </si>
  <si>
    <t>qr0</t>
  </si>
  <si>
    <t>qr1</t>
  </si>
  <si>
    <t>qr2</t>
  </si>
  <si>
    <t>qr3</t>
  </si>
  <si>
    <t>qi (math order)</t>
  </si>
  <si>
    <t>heading ("nose right" &gt;0°):</t>
  </si>
  <si>
    <t>qf=qi.qrot:</t>
  </si>
  <si>
    <t>qf'=qf.qrot2:</t>
  </si>
  <si>
    <t>qrot1 bank (math order):</t>
  </si>
  <si>
    <t>qrot2 slope (math order):</t>
  </si>
  <si>
    <t>apply bank</t>
  </si>
  <si>
    <t>apply slope</t>
  </si>
  <si>
    <t>apply heading</t>
  </si>
  <si>
    <t>qf''=qf'.qrot3:</t>
  </si>
  <si>
    <t>qrot3 heading (math order):</t>
  </si>
  <si>
    <r>
      <t xml:space="preserve">To orient and attach track or road sections, use the </t>
    </r>
    <r>
      <rPr>
        <b/>
        <sz val="10"/>
        <rFont val="Arial"/>
        <family val="2"/>
      </rPr>
      <t>Line up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Curved track &amp; road</t>
    </r>
    <r>
      <rPr>
        <sz val="10"/>
        <rFont val="Arial"/>
        <family val="2"/>
      </rPr>
      <t xml:space="preserve"> sheets instead of this sheet.</t>
    </r>
  </si>
  <si>
    <t>°         (=</t>
  </si>
  <si>
    <r>
      <t xml:space="preserve"> </t>
    </r>
    <r>
      <rPr>
        <b/>
        <sz val="10"/>
        <color indexed="17"/>
        <rFont val="Arial"/>
        <family val="2"/>
      </rPr>
      <t>insert angles on the</t>
    </r>
    <r>
      <rPr>
        <b/>
        <sz val="10"/>
        <color indexed="57"/>
        <rFont val="Arial"/>
        <family val="2"/>
      </rPr>
      <t xml:space="preserve"> </t>
    </r>
    <r>
      <rPr>
        <b/>
        <sz val="10"/>
        <rFont val="Arial"/>
        <family val="2"/>
      </rPr>
      <t>Turn about object axes</t>
    </r>
    <r>
      <rPr>
        <b/>
        <sz val="10"/>
        <color indexed="57"/>
        <rFont val="Arial"/>
        <family val="2"/>
      </rPr>
      <t xml:space="preserve"> </t>
    </r>
    <r>
      <rPr>
        <b/>
        <sz val="10"/>
        <color indexed="17"/>
        <rFont val="Arial"/>
        <family val="2"/>
      </rPr>
      <t>sheet</t>
    </r>
    <r>
      <rPr>
        <sz val="10"/>
        <rFont val="Arial"/>
        <family val="2"/>
      </rPr>
      <t xml:space="preserve">;  </t>
    </r>
    <r>
      <rPr>
        <sz val="10"/>
        <rFont val="Arial"/>
      </rPr>
      <t>QDirection data will come automatically from that sheet</t>
    </r>
  </si>
  <si>
    <r>
      <t xml:space="preserve">IMPORTANT:  </t>
    </r>
    <r>
      <rPr>
        <sz val="10"/>
        <color indexed="10"/>
        <rFont val="Arial"/>
        <family val="2"/>
      </rPr>
      <t>to store data for future use, make sure you save the entire spreadsheet when terminating Object Rotator.</t>
    </r>
  </si>
  <si>
    <r>
      <t xml:space="preserve">See sheet Set </t>
    </r>
    <r>
      <rPr>
        <b/>
        <sz val="10"/>
        <rFont val="Arial"/>
        <family val="2"/>
      </rPr>
      <t>antiparallel.</t>
    </r>
  </si>
  <si>
    <r>
      <t xml:space="preserve">See sheet </t>
    </r>
    <r>
      <rPr>
        <b/>
        <sz val="10"/>
        <rFont val="Arial"/>
        <family val="2"/>
      </rPr>
      <t>Lay across</t>
    </r>
    <r>
      <rPr>
        <sz val="10"/>
        <rFont val="Arial"/>
      </rPr>
      <t>.</t>
    </r>
  </si>
  <si>
    <t>START HERE, INSERTING QDirection AND ONLY ONE NON-ZERO ROTATION ANGLE:</t>
  </si>
  <si>
    <t>0.000000 0.000000 0.707107 0.707107</t>
  </si>
  <si>
    <t>+90° banked QDirection with bank, slope, heading: 90, 0, 0°</t>
  </si>
  <si>
    <t>copy this result to part 2) of this sheet (use Paste special), and apply another rotation.</t>
  </si>
  <si>
    <t>Object Rotator is a tool that rotates objects accurately in MSTS.</t>
  </si>
  <si>
    <t>0.0261769 0.00130855 3.42655e-005 0.999657</t>
  </si>
  <si>
    <t>bluebrg</t>
  </si>
  <si>
    <t>qi MSTS order:</t>
  </si>
  <si>
    <t>qi2</t>
  </si>
  <si>
    <t>qi1</t>
  </si>
  <si>
    <t>qi3</t>
  </si>
  <si>
    <t>qi0</t>
  </si>
  <si>
    <t>qi math order:</t>
  </si>
  <si>
    <t>qf math order:</t>
  </si>
  <si>
    <t>qf'=qi.qf:</t>
  </si>
  <si>
    <t>q"=qf'.q':</t>
  </si>
  <si>
    <t>left:</t>
  </si>
  <si>
    <t>right:</t>
  </si>
  <si>
    <t>right: initial</t>
  </si>
  <si>
    <t>rot -a/2</t>
  </si>
  <si>
    <t>rot a/2</t>
  </si>
  <si>
    <t>rot a</t>
  </si>
  <si>
    <t>rot -a</t>
  </si>
  <si>
    <t>q -a</t>
  </si>
  <si>
    <t>Right turn:</t>
  </si>
  <si>
    <r>
      <t xml:space="preserve">then QDirection data will come automatically from the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</t>
    </r>
  </si>
  <si>
    <r>
      <t xml:space="preserve">the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sheet, set all rotation angles there to zero, and copy the </t>
    </r>
  </si>
  <si>
    <r>
      <t xml:space="preserve">or whether you will define the initial direction through bank/slope/heading angles on the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</t>
    </r>
  </si>
  <si>
    <t>from Turn about object axes sheet:</t>
  </si>
  <si>
    <r>
      <t xml:space="preserve">QDirection data from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 into the green cell above.</t>
    </r>
  </si>
  <si>
    <r>
      <t xml:space="preserve">resulting QDirection data from the </t>
    </r>
    <r>
      <rPr>
        <b/>
        <sz val="10"/>
        <rFont val="Arial"/>
        <family val="2"/>
      </rPr>
      <t>Turn about object axes</t>
    </r>
    <r>
      <rPr>
        <sz val="10"/>
        <rFont val="Arial"/>
      </rPr>
      <t xml:space="preserve"> sheet into the green cell above.</t>
    </r>
  </si>
  <si>
    <t>from Turn about object axes:</t>
  </si>
  <si>
    <t>left: initial</t>
  </si>
  <si>
    <t>Left turn</t>
  </si>
  <si>
    <t>1 - First object in curve (may already be in place for left turn):</t>
  </si>
  <si>
    <r>
      <t xml:space="preserve">Copy the above results (in </t>
    </r>
    <r>
      <rPr>
        <b/>
        <sz val="10"/>
        <color indexed="10"/>
        <rFont val="Arial"/>
        <family val="2"/>
      </rPr>
      <t>red</t>
    </r>
    <r>
      <rPr>
        <b/>
        <sz val="10"/>
        <color indexed="9"/>
        <rFont val="Arial"/>
        <family val="2"/>
      </rPr>
      <t xml:space="preserve"> cells) into the object definition in the proper world tile file.</t>
    </r>
  </si>
  <si>
    <t>Set parallel:</t>
  </si>
  <si>
    <t>turn an object so it is parallel to another object</t>
  </si>
  <si>
    <t>- place a bridge or platform parallel to track or road</t>
  </si>
  <si>
    <t>Set antiparallel:</t>
  </si>
  <si>
    <t>turn an object so it is parallel to another object, but pointing in the opposite direction</t>
  </si>
  <si>
    <t>if you selected a RIGHT curve, skip the following input and go directly to the results</t>
  </si>
  <si>
    <t>Use right-curve results only if existing dyn. track was reversed!</t>
  </si>
  <si>
    <t xml:space="preserve">- place a bridge or platform parallel to track or road, but with bridge pier at other end, </t>
  </si>
  <si>
    <t>or platform edge on opposite side</t>
  </si>
  <si>
    <t>Stand vertical:</t>
  </si>
  <si>
    <t>turn an object so it stands vertically, without changing its heading (compass direction)</t>
  </si>
  <si>
    <t>- if an object leans sideways, this function will make it vertical</t>
  </si>
  <si>
    <t>Stand perpendicular:</t>
  </si>
  <si>
    <t>turn an object so it stands perpendicular to another, without changing its heading (compass direction)</t>
  </si>
  <si>
    <t>- make an object lean sideways so it stands perpendicular to sloping terrain or track/road</t>
  </si>
  <si>
    <t>Lay across:</t>
  </si>
  <si>
    <t>turn an object so it lies across another</t>
  </si>
  <si>
    <t>- orient a bridge 90º to a track</t>
  </si>
  <si>
    <t>- use this function to correctly place certain 'cross-wise' objects like fences</t>
  </si>
  <si>
    <t>place a series of identical objects in a line</t>
  </si>
  <si>
    <t>- make a long bridge or platform with multiple copies of shorter sections</t>
  </si>
  <si>
    <t>- place tunnel tracks underground without changing the terrain shape</t>
  </si>
  <si>
    <t>Aim straight:</t>
  </si>
  <si>
    <t>orient straight track or road to link distant points</t>
  </si>
  <si>
    <t>- lay track straight to a distant invisible point</t>
  </si>
  <si>
    <t>- aim a straight tunnel to an exact location behind a mountain</t>
  </si>
  <si>
    <t>Curved track and road:</t>
  </si>
  <si>
    <t>place track and road in a constant curve in difficult situations</t>
  </si>
  <si>
    <t xml:space="preserve">- lay track underground without changing the terrain shape </t>
  </si>
  <si>
    <t>- lay track with a very high slope</t>
  </si>
  <si>
    <t>Curved row:</t>
  </si>
  <si>
    <t>place a series of objects along a curve</t>
  </si>
  <si>
    <t>- place a multi-section bridge or platform along a curved track</t>
  </si>
  <si>
    <t>Turn about OBJECT axes:</t>
  </si>
  <si>
    <t>turn an object by changing its internal bank, slope or heading angles</t>
  </si>
  <si>
    <t>- add or subtract a bank, slope or heading change to an existing orientation</t>
  </si>
  <si>
    <t>Turn about world axes:</t>
  </si>
  <si>
    <t xml:space="preserve">similar to the case with object axes, but using less intuitive world axes, </t>
  </si>
  <si>
    <t>while additionally offering several preset orientations</t>
  </si>
  <si>
    <t>- reorient an object to achieve a particular bank, slope or heading</t>
  </si>
  <si>
    <t>by a desired amount, then continuing in the same direction.  You select the turn radius.</t>
  </si>
  <si>
    <r>
      <t xml:space="preserve">Note:  to make a pair of tracks split equally (symmetrically) around a platform, use the </t>
    </r>
    <r>
      <rPr>
        <b/>
        <sz val="10"/>
        <rFont val="Arial"/>
        <family val="2"/>
      </rPr>
      <t>Island split</t>
    </r>
    <r>
      <rPr>
        <sz val="10"/>
        <rFont val="Arial"/>
      </rPr>
      <t xml:space="preserve"> sheet.</t>
    </r>
  </si>
  <si>
    <t>2)  Specify the desired ADDITIONAL spacing between tracks</t>
  </si>
  <si>
    <t>The additional spacing is the EXTRA distance between tracks, relative to the normal dual-track spacing.</t>
  </si>
  <si>
    <t>Use this result in RE to shape pairs of dynamic track sections placed to form S-curves.</t>
  </si>
  <si>
    <r>
      <t xml:space="preserve">Such an S-curve (composed of a pair of left and right curves) has a </t>
    </r>
    <r>
      <rPr>
        <b/>
        <sz val="10"/>
        <rFont val="Arial"/>
        <family val="2"/>
      </rPr>
      <t>length</t>
    </r>
    <r>
      <rPr>
        <sz val="10"/>
        <rFont val="Arial"/>
      </rPr>
      <t xml:space="preserve"> of</t>
    </r>
  </si>
  <si>
    <t>ISLAND SPLIT - shape S-curves to symmetrically deviate two parallel tracks around a platform</t>
  </si>
  <si>
    <t>PARALLEL DEVIATION - shape an S-curve that leads to a given lateral track deviation</t>
  </si>
  <si>
    <t>Making an island split means placing S-curves that deviate two parallel tracks by the same amount,</t>
  </si>
  <si>
    <t>then continuing in the same direction.  You select the turn radius.</t>
  </si>
  <si>
    <r>
      <t xml:space="preserve">Note:  to make a single track deviate laterally, use the </t>
    </r>
    <r>
      <rPr>
        <b/>
        <sz val="10"/>
        <rFont val="Arial"/>
        <family val="2"/>
      </rPr>
      <t>Parallel deviation</t>
    </r>
    <r>
      <rPr>
        <sz val="10"/>
        <rFont val="Arial"/>
      </rPr>
      <t xml:space="preserve"> sheet.</t>
    </r>
  </si>
  <si>
    <t>This additional spacing may be the width of a platform added between the tracks.</t>
  </si>
  <si>
    <t>Enter ADDITIONAL spacing D here (meters):</t>
  </si>
  <si>
    <t>Parallel deviation:</t>
  </si>
  <si>
    <t>Island split:</t>
  </si>
  <si>
    <t>shape an S-curve that leads to a given lateral track deviation</t>
  </si>
  <si>
    <t>shape S-curves to symmetrically deviate two parallel tracks around a platform</t>
  </si>
  <si>
    <t>- deviate track around a platform or building</t>
  </si>
  <si>
    <t>- space dual track apart to pass around a platform</t>
  </si>
  <si>
    <t xml:space="preserve">Adds sheets:  Aim with curve, Shift, Parallel deviation, Island split, Next track section, </t>
  </si>
  <si>
    <t>Rollercoaster curves, S countercurve, S joint, Curved joint;</t>
  </si>
  <si>
    <t>Extends documentation with formulas relating QDirection, heading/slope/bank and Position.</t>
  </si>
  <si>
    <t>Corrects wrong results for 3rd and later objects for left curve in Curved track and road.</t>
  </si>
  <si>
    <r>
      <t xml:space="preserve">Turning about world axes means rotating an object around the </t>
    </r>
    <r>
      <rPr>
        <b/>
        <u/>
        <sz val="10"/>
        <rFont val="Arial"/>
        <family val="2"/>
      </rPr>
      <t>fixed</t>
    </r>
    <r>
      <rPr>
        <b/>
        <sz val="10"/>
        <rFont val="Arial"/>
        <family val="2"/>
      </rPr>
      <t xml:space="preserve"> world axes (east-west, north-south, and vertical)</t>
    </r>
  </si>
  <si>
    <r>
      <t xml:space="preserve">Turning about object axes means rotating an object around its </t>
    </r>
    <r>
      <rPr>
        <b/>
        <u/>
        <sz val="10"/>
        <rFont val="Arial"/>
        <family val="2"/>
      </rPr>
      <t>mobile</t>
    </r>
    <r>
      <rPr>
        <b/>
        <sz val="10"/>
        <rFont val="Arial"/>
        <family val="2"/>
      </rPr>
      <t xml:space="preserve"> internal x, y, z axes,</t>
    </r>
  </si>
  <si>
    <r>
      <t xml:space="preserve">by adding or subtracting a </t>
    </r>
    <r>
      <rPr>
        <b/>
        <sz val="10"/>
        <rFont val="Arial"/>
        <family val="2"/>
      </rPr>
      <t>change</t>
    </r>
    <r>
      <rPr>
        <sz val="10"/>
        <rFont val="Arial"/>
      </rPr>
      <t xml:space="preserve"> of bank, slope or heading.</t>
    </r>
  </si>
  <si>
    <r>
      <t xml:space="preserve">for example to make an object bank 5° </t>
    </r>
    <r>
      <rPr>
        <b/>
        <sz val="10"/>
        <rFont val="Arial"/>
        <family val="2"/>
      </rPr>
      <t>less</t>
    </r>
    <r>
      <rPr>
        <sz val="10"/>
        <rFont val="Arial"/>
      </rPr>
      <t xml:space="preserve">, or slope 10° </t>
    </r>
    <r>
      <rPr>
        <b/>
        <sz val="10"/>
        <rFont val="Arial"/>
        <family val="2"/>
      </rPr>
      <t>more</t>
    </r>
    <r>
      <rPr>
        <sz val="10"/>
        <rFont val="Arial"/>
      </rPr>
      <t xml:space="preserve">, or point 30° </t>
    </r>
    <r>
      <rPr>
        <b/>
        <sz val="10"/>
        <rFont val="Arial"/>
        <family val="2"/>
      </rPr>
      <t>more</t>
    </r>
    <r>
      <rPr>
        <sz val="10"/>
        <rFont val="Arial"/>
      </rPr>
      <t xml:space="preserve"> to the east.</t>
    </r>
  </si>
  <si>
    <t>(the east/west, north/south and vertical directions), which do NOT turn with the object;</t>
  </si>
  <si>
    <r>
      <t xml:space="preserve">RECOMMENDATION:  use </t>
    </r>
    <r>
      <rPr>
        <b/>
        <sz val="10"/>
        <color indexed="12"/>
        <rFont val="Arial"/>
        <family val="2"/>
      </rPr>
      <t>this sheet (Turn about object axes)</t>
    </r>
    <r>
      <rPr>
        <sz val="10"/>
        <color indexed="12"/>
        <rFont val="Arial"/>
        <family val="2"/>
      </rPr>
      <t xml:space="preserve"> for most object rotations,</t>
    </r>
  </si>
  <si>
    <t>Turning track or road sections will likely break their connections to other tracks or roads.</t>
  </si>
  <si>
    <t>Note that banked (superelevated) curves are not useful in MSTS, since trains can't bank.</t>
  </si>
  <si>
    <r>
      <t xml:space="preserve">This sheet also automatically offers </t>
    </r>
    <r>
      <rPr>
        <b/>
        <sz val="10"/>
        <rFont val="Arial"/>
        <family val="2"/>
      </rPr>
      <t>several preset alternative orientations</t>
    </r>
    <r>
      <rPr>
        <sz val="10"/>
        <rFont val="Arial"/>
      </rPr>
      <t xml:space="preserve">, such as antiparallel, across, etc. </t>
    </r>
  </si>
  <si>
    <t>2)  Flip object nose to tail, reversing slope and bank (antiparallel):</t>
  </si>
  <si>
    <t>8)  Turn cross-wise object -90° about vertical axis, to line up with sloping track/road (across -90° banked):</t>
  </si>
  <si>
    <t>7)  Turn cross-wise object +90° about vertical axis, to line up with sloping track/road (across +90° banked):</t>
  </si>
  <si>
    <t>To turn an object in this sheet, you must first enter its current orientation, given by its QDirection definition found in its world tile file.</t>
  </si>
  <si>
    <t>An object is oriented using bank, slope and heading angles defined relative to the fixed world axes;</t>
  </si>
  <si>
    <t>IMPORTANT:  because RE limits the fineness of dynamic track parameters, the resulting track-track</t>
  </si>
  <si>
    <t>The results of this sheet assume parallel tracks on the same level (same altitude).</t>
  </si>
  <si>
    <t>If the parallel tracks are not exactly parallel or are or slightly different levels, the</t>
  </si>
  <si>
    <r>
      <t>1)  Place a dynamic track section at one end of the gap</t>
    </r>
    <r>
      <rPr>
        <sz val="10"/>
        <color indexed="9"/>
        <rFont val="Arial"/>
        <family val="2"/>
      </rPr>
      <t>, joined to the existing track</t>
    </r>
  </si>
  <si>
    <r>
      <t>2)  Place a dynamic track section at the other end of the gap</t>
    </r>
    <r>
      <rPr>
        <sz val="10"/>
        <color indexed="9"/>
        <rFont val="Arial"/>
        <family val="2"/>
      </rPr>
      <t>, joined to the existing track</t>
    </r>
  </si>
  <si>
    <r>
      <t>4)  Enter data for the first track section</t>
    </r>
    <r>
      <rPr>
        <sz val="10"/>
        <color indexed="9"/>
        <rFont val="Arial"/>
        <family val="2"/>
      </rPr>
      <t>, from the corresponding *.w file</t>
    </r>
  </si>
  <si>
    <t>tests:</t>
  </si>
  <si>
    <t>track parallelism:</t>
  </si>
  <si>
    <t>gap length:</t>
  </si>
  <si>
    <t>track levels:</t>
  </si>
  <si>
    <t>radius vs straight segments:</t>
  </si>
  <si>
    <t>radius vs gap length:</t>
  </si>
  <si>
    <t>m (make this change last!)</t>
  </si>
  <si>
    <t>After adjusting dynamic tracks, reload route in RE (with track database rebuild)</t>
  </si>
  <si>
    <t>(may be needed due to round-offs by RE, or due to non-level tracks)</t>
  </si>
  <si>
    <t>joints may not be perfect;  final manual adjustment may be desirable.</t>
  </si>
  <si>
    <t>This sheet will produce Position, QDirection and parameter data for the two dynamic track sections used to fill the gap.</t>
  </si>
  <si>
    <t>Next track section:</t>
  </si>
  <si>
    <t>attach the next track section to an existing track section</t>
  </si>
  <si>
    <t>- continue laying track in hard-to-reach places (below or above ground)</t>
  </si>
  <si>
    <t>- lay track with constant steep slope</t>
  </si>
  <si>
    <t>complete 2nd half of an S-curve</t>
  </si>
  <si>
    <t>- after laying one curve, lay countercurve to bring curve track back to original orientation</t>
  </si>
  <si>
    <t>- fill gap between two parallel but off-set straight tracks</t>
  </si>
  <si>
    <t>Curved joint:</t>
  </si>
  <si>
    <t>S joint:</t>
  </si>
  <si>
    <t>S countercurve:</t>
  </si>
  <si>
    <t>- fill gap between two non-parallel straight tracks</t>
  </si>
  <si>
    <t>S COUNTERCURVE - complete 2nd half of an S-curve</t>
  </si>
  <si>
    <r>
      <t>Completing an S curve means placing a second "countercurve" to reverse the turn of the first curve</t>
    </r>
    <r>
      <rPr>
        <sz val="10"/>
        <rFont val="Arial"/>
        <family val="2"/>
      </rPr>
      <t>,</t>
    </r>
  </si>
  <si>
    <t>thus completing the second half of an S curve, using the same turn angle but possibly a different radius.</t>
  </si>
  <si>
    <t>Object Rotator requires familiarity with editing files (using WordPad).</t>
  </si>
  <si>
    <t>remain labor intensive, even with this tool.</t>
  </si>
  <si>
    <t>heading (°, &gt;0 to W)</t>
  </si>
  <si>
    <t>°</t>
  </si>
  <si>
    <t xml:space="preserve">perpendicularly to another object, when seen from directly above.  </t>
  </si>
  <si>
    <t>exact coordinates and orientation are provided, including the effect of a slope;</t>
  </si>
  <si>
    <t>CURVED ROW - place several objects along a curve</t>
  </si>
  <si>
    <t>d^2=</t>
  </si>
  <si>
    <t>test:</t>
  </si>
  <si>
    <t>radius vs distance:</t>
  </si>
  <si>
    <t>A1=</t>
  </si>
  <si>
    <t>A2=</t>
  </si>
  <si>
    <t>Ad=</t>
  </si>
  <si>
    <t>A turn=</t>
  </si>
  <si>
    <t>cos(A/2)=</t>
  </si>
  <si>
    <t>sin(-A/2)=</t>
  </si>
  <si>
    <t>1-cosA=</t>
  </si>
  <si>
    <t>E1(x,y,z)=</t>
  </si>
  <si>
    <t>P1E1(x,y,z)=</t>
  </si>
  <si>
    <r>
      <t>Placing objects in a row along a curve</t>
    </r>
    <r>
      <rPr>
        <sz val="10"/>
        <rFont val="Arial"/>
      </rPr>
      <t xml:space="preserve"> means placing them on a circle, </t>
    </r>
  </si>
  <si>
    <t>NOTE:  For placing tracks and roads, use the Curved track and road sheet.</t>
  </si>
  <si>
    <t>2)  Specify the curve radius</t>
  </si>
  <si>
    <t>3)  Specify left or right turn</t>
  </si>
  <si>
    <t>4)  Specify the object spacing or length</t>
  </si>
  <si>
    <t>5)  Specify the object width and rotation axis offset</t>
  </si>
  <si>
    <t>6)  Specify the initial tile numbers</t>
  </si>
  <si>
    <t>7)  Specify the start position of your curve of objects</t>
  </si>
  <si>
    <t>(banked to fit track or road slope)</t>
  </si>
  <si>
    <t>(see the procedure given on the Guide sheet),</t>
  </si>
  <si>
    <t>Normally, you will have to adjust the altitude also.</t>
  </si>
  <si>
    <t xml:space="preserve">This is also needed to set parallel some "cross-wise" objects (like fences) </t>
  </si>
  <si>
    <t>that by default are placed east/west rather than north/south in RE.</t>
  </si>
  <si>
    <t>reduced chord c:</t>
  </si>
  <si>
    <t>- tracks of type A1tEndPnt10d... have an approximate radius of about 173m;</t>
  </si>
  <si>
    <t>q2(MSTS)=q1.qA1=</t>
  </si>
  <si>
    <t>q2"(MSTS)=q1.qA1.q-A2=</t>
  </si>
  <si>
    <t>m  (this offset is the distance from the center of the object back to its vertical rotation axis)</t>
  </si>
  <si>
    <t>You will still be able to shift your line of objects after placing them, so the start position need NOT be precise.</t>
  </si>
  <si>
    <t>0.000000 0.018979 0.000000 0.999820</t>
  </si>
  <si>
    <t>°)</t>
  </si>
  <si>
    <t>qA(MSTS)=</t>
  </si>
  <si>
    <t>q2(MSTS)=q1.qA=</t>
  </si>
  <si>
    <t>= +1.570+</t>
  </si>
  <si>
    <t>rad (if &lt;-pi/2)</t>
  </si>
  <si>
    <t>rad (if &gt;+pi/2)</t>
  </si>
  <si>
    <t>0 -0.277734 0 0.960658</t>
  </si>
  <si>
    <t>° =</t>
  </si>
  <si>
    <t>sin|A|=</t>
  </si>
  <si>
    <t>-0.073349 1 84.3159</t>
  </si>
  <si>
    <t>assumes no roundoff of dyn. trk. turn angle</t>
  </si>
  <si>
    <t>d=</t>
  </si>
  <si>
    <t>Straight:</t>
  </si>
  <si>
    <t>E1P2(x,y,z)=</t>
  </si>
  <si>
    <t>= -1.570</t>
  </si>
  <si>
    <t>For that, select all the objects in RE and move them together.</t>
  </si>
  <si>
    <t>AIM WITH CURVE - link existing track to a given point with a curve followed by straight track</t>
  </si>
  <si>
    <r>
      <t>Aiming with curve</t>
    </r>
    <r>
      <rPr>
        <sz val="10"/>
        <rFont val="Arial"/>
      </rPr>
      <t xml:space="preserve"> means placing a curved track leading into straight track that aims straight for the given point.</t>
    </r>
  </si>
  <si>
    <t>NOTE:  the initial curve will be kept horizontal, even if the given point is at a different altitude than the start point,</t>
  </si>
  <si>
    <t>Later, this will become a curved dynamic track section, its end pointing directly to the given point.</t>
  </si>
  <si>
    <t>or to insert coordinates by hand, such as from the camera position at the end point.</t>
  </si>
  <si>
    <t>(final hdg=</t>
  </si>
  <si>
    <t>slope:</t>
  </si>
  <si>
    <t>heading:</t>
  </si>
  <si>
    <t>Then you must enter three rotation angles on this sheet (be careful with the order of rotations!).</t>
  </si>
  <si>
    <t>Decide whether you need the order bank-slope-heading, or the order heading-bank-slope, or some other order.</t>
  </si>
  <si>
    <t>Changing the order of rotations will change the resulting orientation!</t>
  </si>
  <si>
    <t>In general, turning tracks or roads with this sheet will make them bank:</t>
  </si>
  <si>
    <t>but banked tracks are not useful in MSTS, since trains can't bank.</t>
  </si>
  <si>
    <t>right-click, select Paste Special - Values (numbers may flow into other cells):</t>
  </si>
  <si>
    <t>2) Select whether to change the 3 current rotation angles, or to apply further rotation</t>
  </si>
  <si>
    <t>3) Insert the desired rotation angles (in degrees) in the green boxes, in the order needed</t>
  </si>
  <si>
    <t>Be careful with the order of rotations!</t>
  </si>
  <si>
    <t>See below for alternative related results.</t>
  </si>
  <si>
    <t>- zero bank:  no sideways tilt about horizontal north/south axis</t>
  </si>
  <si>
    <t>- positive bank:  tilt to right - east side goes down</t>
  </si>
  <si>
    <t>bank (right wing down &gt;0°):</t>
  </si>
  <si>
    <t xml:space="preserve">that you want to insert another one in between, or change the slope of one of the track sections,   </t>
  </si>
  <si>
    <t>so that the subsequent track sections need to be shifted (without changing their slopes):</t>
  </si>
  <si>
    <t>rather than replacing all those track sections one by one, you can use this sheet to adjust</t>
  </si>
  <si>
    <t>their positions in the corresponding world file(s).</t>
  </si>
  <si>
    <t>(100)-&gt;(x1,y1,z1)=</t>
  </si>
  <si>
    <t>(001)-&gt;(x3,y3,z3)=</t>
  </si>
  <si>
    <t>cos a</t>
  </si>
  <si>
    <t>sin a</t>
  </si>
  <si>
    <t>start-to-end=(E'x,E'y,E'z)=</t>
  </si>
  <si>
    <t>end T+E'=</t>
  </si>
  <si>
    <t>-384.154 1.00098 -245.786</t>
  </si>
  <si>
    <t>0.167731 0.044943 0.254887 0.951251</t>
  </si>
  <si>
    <t>- zero slope:  no vertical turn about horizontal east/west axis</t>
  </si>
  <si>
    <t>- positive slope:  turn up - nose up, tail down</t>
  </si>
  <si>
    <t>- zero heading: no horizontal turn about vertical axis</t>
  </si>
  <si>
    <t>- positive heading:  turn to right - from north toward west then south then east then north again</t>
  </si>
  <si>
    <t>in this case, enter new values for the FIRST bank, SECOND slope and THIRD heading below</t>
  </si>
  <si>
    <t>heading (nose left &gt;0°):</t>
  </si>
  <si>
    <r>
      <t xml:space="preserve">RECOMMENDATION:  use the </t>
    </r>
    <r>
      <rPr>
        <b/>
        <sz val="10"/>
        <color indexed="12"/>
        <rFont val="Arial"/>
        <family val="2"/>
      </rPr>
      <t>Turn about OBJECT axes sheet</t>
    </r>
    <r>
      <rPr>
        <sz val="10"/>
        <color indexed="12"/>
        <rFont val="Arial"/>
        <family val="2"/>
      </rPr>
      <t xml:space="preserve"> for most object rotations,</t>
    </r>
  </si>
  <si>
    <r>
      <t xml:space="preserve">The </t>
    </r>
    <r>
      <rPr>
        <b/>
        <sz val="10"/>
        <color indexed="57"/>
        <rFont val="Arial"/>
        <family val="2"/>
      </rPr>
      <t>resulting position and orientation are shown as "Position" and "QDirection"</t>
    </r>
    <r>
      <rPr>
        <sz val="10"/>
        <rFont val="Arial"/>
      </rPr>
      <t xml:space="preserve"> below for each object </t>
    </r>
  </si>
  <si>
    <r>
      <t xml:space="preserve">Select </t>
    </r>
    <r>
      <rPr>
        <u/>
        <sz val="10"/>
        <rFont val="Arial"/>
        <family val="2"/>
      </rPr>
      <t>all the new lined up objects</t>
    </r>
    <r>
      <rPr>
        <sz val="10"/>
        <rFont val="Arial"/>
        <family val="2"/>
      </rPr>
      <t xml:space="preserve">, then move them </t>
    </r>
    <r>
      <rPr>
        <u/>
        <sz val="10"/>
        <rFont val="Arial"/>
        <family val="2"/>
      </rPr>
      <t>all together</t>
    </r>
    <r>
      <rPr>
        <sz val="10"/>
        <rFont val="Arial"/>
        <family val="2"/>
      </rPr>
      <t xml:space="preserve"> to their desired position (without rotations).</t>
    </r>
  </si>
  <si>
    <t>10) Save the route</t>
  </si>
  <si>
    <r>
      <t>CAUTION</t>
    </r>
    <r>
      <rPr>
        <sz val="10"/>
        <rFont val="Arial"/>
        <family val="2"/>
      </rPr>
      <t>:  never edit the dynamic track section data (length, radius, angle) in the *.w world tile!</t>
    </r>
  </si>
  <si>
    <r>
      <t xml:space="preserve">In RE, give the </t>
    </r>
    <r>
      <rPr>
        <b/>
        <sz val="10"/>
        <color indexed="17"/>
        <rFont val="Arial"/>
        <family val="2"/>
      </rPr>
      <t>1st straight segment</t>
    </r>
    <r>
      <rPr>
        <sz val="10"/>
        <color indexed="17"/>
        <rFont val="Arial"/>
        <family val="2"/>
      </rPr>
      <t xml:space="preserve"> of the dynamic track section the </t>
    </r>
    <r>
      <rPr>
        <b/>
        <sz val="10"/>
        <color indexed="17"/>
        <rFont val="Arial"/>
        <family val="2"/>
      </rPr>
      <t>length</t>
    </r>
    <r>
      <rPr>
        <sz val="10"/>
        <color indexed="17"/>
        <rFont val="Arial"/>
        <family val="2"/>
      </rPr>
      <t>:</t>
    </r>
  </si>
  <si>
    <r>
      <t xml:space="preserve">In RE, give the </t>
    </r>
    <r>
      <rPr>
        <b/>
        <sz val="10"/>
        <color indexed="17"/>
        <rFont val="Arial"/>
        <family val="2"/>
      </rPr>
      <t>1st curved segment</t>
    </r>
    <r>
      <rPr>
        <sz val="10"/>
        <color indexed="17"/>
        <rFont val="Arial"/>
        <family val="2"/>
      </rPr>
      <t xml:space="preserve"> of the dynamic track section the chosen </t>
    </r>
    <r>
      <rPr>
        <b/>
        <sz val="10"/>
        <color indexed="17"/>
        <rFont val="Arial"/>
        <family val="2"/>
      </rPr>
      <t>radius</t>
    </r>
    <r>
      <rPr>
        <sz val="10"/>
        <color indexed="17"/>
        <rFont val="Arial"/>
        <family val="2"/>
      </rPr>
      <t>:</t>
    </r>
  </si>
  <si>
    <r>
      <t xml:space="preserve">In RE, give the </t>
    </r>
    <r>
      <rPr>
        <b/>
        <sz val="10"/>
        <color indexed="17"/>
        <rFont val="Arial"/>
        <family val="2"/>
      </rPr>
      <t>1st curved segment</t>
    </r>
    <r>
      <rPr>
        <sz val="10"/>
        <color indexed="17"/>
        <rFont val="Arial"/>
        <family val="2"/>
      </rPr>
      <t xml:space="preserve"> of the dynamic track section the turn </t>
    </r>
    <r>
      <rPr>
        <b/>
        <sz val="10"/>
        <color indexed="17"/>
        <rFont val="Arial"/>
        <family val="2"/>
      </rPr>
      <t>angle</t>
    </r>
    <r>
      <rPr>
        <sz val="10"/>
        <color indexed="17"/>
        <rFont val="Arial"/>
        <family val="2"/>
      </rPr>
      <t>:</t>
    </r>
  </si>
  <si>
    <t>11)  Save the route</t>
  </si>
  <si>
    <t xml:space="preserve">12)  Copy the desired QDirection data to the first straight track section </t>
  </si>
  <si>
    <t>13)  Reload the route with track database rebuild</t>
  </si>
  <si>
    <r>
      <t xml:space="preserve">14) Continue following the instructions of the </t>
    </r>
    <r>
      <rPr>
        <b/>
        <sz val="10"/>
        <rFont val="Arial"/>
        <family val="2"/>
      </rPr>
      <t>Line up</t>
    </r>
    <r>
      <rPr>
        <b/>
        <sz val="10"/>
        <color indexed="9"/>
        <rFont val="Arial"/>
        <family val="2"/>
      </rPr>
      <t xml:space="preserve"> sheet until the line has reached the end position</t>
    </r>
  </si>
  <si>
    <t>From above, select the desired QDirection for the horizontal or sloped orientation.</t>
  </si>
  <si>
    <t>10)  Place a straight section of desired length at the end of the new curve</t>
  </si>
  <si>
    <t>This is the first of many straight sections that will extend to the end position.</t>
  </si>
  <si>
    <r>
      <t>IMPORTANT</t>
    </r>
    <r>
      <rPr>
        <sz val="10"/>
        <rFont val="Arial"/>
      </rPr>
      <t xml:space="preserve">: this step is necessary to aim the first straight track section exactly </t>
    </r>
  </si>
  <si>
    <r>
      <t xml:space="preserve">This curve will be </t>
    </r>
    <r>
      <rPr>
        <b/>
        <sz val="10"/>
        <rFont val="Arial"/>
        <family val="2"/>
      </rPr>
      <t>level</t>
    </r>
    <r>
      <rPr>
        <sz val="10"/>
        <rFont val="Arial"/>
        <family val="2"/>
      </rPr>
      <t xml:space="preserve"> (sloping it strongly discouraged); </t>
    </r>
  </si>
  <si>
    <t>if you give it a slope, the curve's end will likely have an undesired different slope.</t>
  </si>
  <si>
    <t>For dynamic track sections, you set their radius and angle (in radians) in the Dynamic track window,</t>
  </si>
  <si>
    <t>CAUTION:  use only 3 digits after the decimal point in dynamic track radians! (NOT -0.20748 but -0.207 rad!)</t>
  </si>
  <si>
    <r>
      <t xml:space="preserve">at the time that you </t>
    </r>
    <r>
      <rPr>
        <u/>
        <sz val="10"/>
        <rFont val="Arial"/>
        <family val="2"/>
      </rPr>
      <t>first</t>
    </r>
    <r>
      <rPr>
        <sz val="10"/>
        <rFont val="Arial"/>
        <family val="2"/>
      </rPr>
      <t xml:space="preserve"> place them (don't modify their dimensions later in their *.w file);</t>
    </r>
  </si>
  <si>
    <t>Antipar QD:</t>
  </si>
  <si>
    <t xml:space="preserve">optionally on a constant slope (forming a screw), </t>
  </si>
  <si>
    <t>and optionally joined end to end (tail to nose).</t>
  </si>
  <si>
    <t>This sheet will produce position coordinates and orientation data for each object;</t>
  </si>
  <si>
    <t>If you need the reverse direction, place these QDirection data into option 1 of</t>
  </si>
  <si>
    <t>Option 1:</t>
  </si>
  <si>
    <t>Option 2:</t>
  </si>
  <si>
    <t>Enter 1 or 2 to select option 1 or 2:</t>
  </si>
  <si>
    <r>
      <t xml:space="preserve"> </t>
    </r>
    <r>
      <rPr>
        <b/>
        <sz val="10"/>
        <color indexed="17"/>
        <rFont val="Arial"/>
        <family val="2"/>
      </rPr>
      <t>paste four QDirection numbers</t>
    </r>
    <r>
      <rPr>
        <sz val="10"/>
        <rFont val="Arial"/>
      </rPr>
      <t xml:space="preserve"> as one string here:</t>
    </r>
  </si>
  <si>
    <t>(QDirection is the same for all objects).</t>
  </si>
  <si>
    <t>Choose whether you will be using the initial QDirection data from an existing object in a world tile file (*.w),</t>
  </si>
  <si>
    <t>Enter radius here:</t>
  </si>
  <si>
    <r>
      <t xml:space="preserve"> </t>
    </r>
    <r>
      <rPr>
        <b/>
        <sz val="10"/>
        <color indexed="17"/>
        <rFont val="Arial"/>
        <family val="2"/>
      </rPr>
      <t>copy the three Position numbers</t>
    </r>
    <r>
      <rPr>
        <sz val="10"/>
        <rFont val="Arial"/>
      </rPr>
      <t xml:space="preserve"> from a *.w file as one string here:</t>
    </r>
  </si>
  <si>
    <r>
      <t xml:space="preserve"> </t>
    </r>
    <r>
      <rPr>
        <b/>
        <sz val="10"/>
        <color indexed="17"/>
        <rFont val="Arial"/>
        <family val="2"/>
      </rPr>
      <t>insert x, y and z</t>
    </r>
    <r>
      <rPr>
        <sz val="10"/>
        <rFont val="Arial"/>
        <family val="2"/>
      </rPr>
      <t xml:space="preserve"> in three separate cells:</t>
    </r>
  </si>
  <si>
    <r>
      <t>m (</t>
    </r>
    <r>
      <rPr>
        <sz val="10"/>
        <color indexed="10"/>
        <rFont val="Arial"/>
        <family val="2"/>
      </rPr>
      <t>max 2000</t>
    </r>
    <r>
      <rPr>
        <sz val="10"/>
        <rFont val="Arial"/>
      </rPr>
      <t>)</t>
    </r>
  </si>
  <si>
    <t>The initial curve orientation is the starting direction of the curved line, including its slope;</t>
  </si>
  <si>
    <t>The first-placed track/road section will start pointing in the initial curve orientation, and turn from there.</t>
  </si>
  <si>
    <t>The first-placed non-track/road object will have the initial curve orientation.</t>
  </si>
  <si>
    <r>
      <t xml:space="preserve">For </t>
    </r>
    <r>
      <rPr>
        <sz val="10"/>
        <color indexed="17"/>
        <rFont val="Arial"/>
        <family val="2"/>
      </rPr>
      <t>joined objects</t>
    </r>
    <r>
      <rPr>
        <sz val="10"/>
        <rFont val="Arial"/>
        <family val="2"/>
      </rPr>
      <t xml:space="preserve"> </t>
    </r>
    <r>
      <rPr>
        <sz val="10"/>
        <rFont val="Arial"/>
      </rPr>
      <t xml:space="preserve">(like bridge or platform sections), enter their </t>
    </r>
    <r>
      <rPr>
        <sz val="10"/>
        <color indexed="17"/>
        <rFont val="Arial"/>
        <family val="2"/>
      </rPr>
      <t>length</t>
    </r>
    <r>
      <rPr>
        <sz val="10"/>
        <rFont val="Arial"/>
      </rPr>
      <t xml:space="preserve"> (in meters).</t>
    </r>
  </si>
  <si>
    <r>
      <t>horizontal or sloped spacing</t>
    </r>
    <r>
      <rPr>
        <sz val="10"/>
        <rFont val="Arial"/>
      </rPr>
      <t xml:space="preserve"> between objects (in meters), measured in a straight line.</t>
    </r>
  </si>
  <si>
    <t>qa0</t>
  </si>
  <si>
    <t>qa1</t>
  </si>
  <si>
    <t>qa2</t>
  </si>
  <si>
    <t>qa3</t>
  </si>
  <si>
    <t>qi</t>
  </si>
  <si>
    <t>qa</t>
  </si>
  <si>
    <t>q0</t>
  </si>
  <si>
    <t>q1</t>
  </si>
  <si>
    <t>q2</t>
  </si>
  <si>
    <t>q3</t>
  </si>
  <si>
    <t>qn=qi.qa</t>
  </si>
  <si>
    <t>initial</t>
  </si>
  <si>
    <t>a/2</t>
  </si>
  <si>
    <t>|d|</t>
  </si>
  <si>
    <t>1 - First object in curve (already in place if you used its QDirection data above):</t>
  </si>
  <si>
    <t>2 - Next object in curve:</t>
  </si>
  <si>
    <t>3 - Next object in curve:</t>
  </si>
  <si>
    <t>4 - Next object in curve:</t>
  </si>
  <si>
    <t>5 - Next object in curve:</t>
  </si>
  <si>
    <t>6 - Next object in curve:</t>
  </si>
  <si>
    <t>7 - Next object in curve:</t>
  </si>
  <si>
    <t>8 - Next object in curve:</t>
  </si>
  <si>
    <t>9 - Next object in curve:</t>
  </si>
  <si>
    <t>10 - Next object in curve:</t>
  </si>
  <si>
    <t>11 - Next object in curve:</t>
  </si>
  <si>
    <t>12 - Next object in curve:</t>
  </si>
  <si>
    <t>this sheet</t>
  </si>
  <si>
    <t>1)  Specify the line orientation, in one of two ways</t>
  </si>
  <si>
    <t>2)  Specify the object spacing or length</t>
  </si>
  <si>
    <t>3)  Specify the initial tile numbers</t>
  </si>
  <si>
    <t>4)  Specify the start position of your line of objects</t>
  </si>
  <si>
    <r>
      <t>2 - Next object in line</t>
    </r>
    <r>
      <rPr>
        <sz val="10"/>
        <color indexed="12"/>
        <rFont val="Arial"/>
        <family val="2"/>
      </rPr>
      <t>:</t>
    </r>
  </si>
  <si>
    <r>
      <t>3 - Next object in line</t>
    </r>
    <r>
      <rPr>
        <sz val="10"/>
        <color indexed="12"/>
        <rFont val="Arial"/>
        <family val="2"/>
      </rPr>
      <t>:</t>
    </r>
  </si>
  <si>
    <r>
      <t>4 - Next object in line</t>
    </r>
    <r>
      <rPr>
        <sz val="10"/>
        <color indexed="12"/>
        <rFont val="Arial"/>
        <family val="2"/>
      </rPr>
      <t>:</t>
    </r>
  </si>
  <si>
    <r>
      <t>5 - Next object in line</t>
    </r>
    <r>
      <rPr>
        <sz val="10"/>
        <color indexed="12"/>
        <rFont val="Arial"/>
        <family val="2"/>
      </rPr>
      <t>:</t>
    </r>
  </si>
  <si>
    <t>v1=(100)-&gt;(x1,y1,z1)=</t>
  </si>
  <si>
    <t>u1=(001)-&gt;(x3,y3,z3)=</t>
  </si>
  <si>
    <t>v2=(100)-&gt;(x1,y1,z1)=</t>
  </si>
  <si>
    <t>u2=(001)-&gt;(x3,y3,z3)=</t>
  </si>
  <si>
    <t>|u1.P1P2|=</t>
  </si>
  <si>
    <t>|v1.P1P2|=</t>
  </si>
  <si>
    <t>|u2.P1P2|=</t>
  </si>
  <si>
    <t>|v2.P1P2|=</t>
  </si>
  <si>
    <t>d1m =</t>
  </si>
  <si>
    <t>d2m =</t>
  </si>
  <si>
    <t>a =</t>
  </si>
  <si>
    <t>rad(round) =</t>
  </si>
  <si>
    <t>sum|q.q| =</t>
  </si>
  <si>
    <t>Rm =</t>
  </si>
  <si>
    <t>dm =</t>
  </si>
  <si>
    <t xml:space="preserve">d = </t>
  </si>
  <si>
    <t>b1 = d1m-d =</t>
  </si>
  <si>
    <t>b2 = d2m-d =</t>
  </si>
  <si>
    <t>Estimated slope needed for FIRST dyn. track:</t>
  </si>
  <si>
    <t>slope =</t>
  </si>
  <si>
    <t>Estimated slope needed for SECOND dyn. track:</t>
  </si>
  <si>
    <t>-265.011 1.00098 -208.005</t>
  </si>
  <si>
    <t>0 0.135715 0 0.990748</t>
  </si>
  <si>
    <t>-349.249 1.00098 -114.041</t>
  </si>
  <si>
    <t>0 -0.663273 0 0.748378</t>
  </si>
  <si>
    <t>|u1.u2|=cos a=</t>
  </si>
  <si>
    <t>1/tan a =</t>
  </si>
  <si>
    <t>intersect beyond first track end:</t>
  </si>
  <si>
    <t>intersect beyond second track end:</t>
  </si>
  <si>
    <t>The results of this sheet assume non-parallel tracks on the same level (same altitude).</t>
  </si>
  <si>
    <t>This sheet will produce track parameters for the two dynamic track sections used to fill the gap.</t>
  </si>
  <si>
    <t>Joining two non-parallel tracks fills a gap with a curved and a straight dynamic track sections.</t>
  </si>
  <si>
    <r>
      <t>4)  Enter data for the first new dyn. track section</t>
    </r>
    <r>
      <rPr>
        <sz val="10"/>
        <color indexed="9"/>
        <rFont val="Arial"/>
        <family val="2"/>
      </rPr>
      <t>, from the corresponding *.w file</t>
    </r>
  </si>
  <si>
    <t>5)  Enter data for the second new dyn. track section</t>
  </si>
  <si>
    <t xml:space="preserve">In RE, adjust FIRST new dynamic track as follows: </t>
  </si>
  <si>
    <t xml:space="preserve">In RE, adjust SECOND new dynamic tracks as follows: </t>
  </si>
  <si>
    <r>
      <t>6 - Next object in line</t>
    </r>
    <r>
      <rPr>
        <sz val="10"/>
        <color indexed="12"/>
        <rFont val="Arial"/>
        <family val="2"/>
      </rPr>
      <t>:</t>
    </r>
  </si>
  <si>
    <r>
      <t>7 - Next object in line</t>
    </r>
    <r>
      <rPr>
        <sz val="10"/>
        <color indexed="12"/>
        <rFont val="Arial"/>
        <family val="2"/>
      </rPr>
      <t>:</t>
    </r>
  </si>
  <si>
    <r>
      <t>8 - Next object in line</t>
    </r>
    <r>
      <rPr>
        <sz val="10"/>
        <color indexed="12"/>
        <rFont val="Arial"/>
        <family val="2"/>
      </rPr>
      <t>:</t>
    </r>
  </si>
  <si>
    <r>
      <t>9 - Next object in line</t>
    </r>
    <r>
      <rPr>
        <sz val="10"/>
        <color indexed="12"/>
        <rFont val="Arial"/>
        <family val="2"/>
      </rPr>
      <t>:</t>
    </r>
  </si>
  <si>
    <r>
      <t>10 - Next object in line</t>
    </r>
    <r>
      <rPr>
        <sz val="10"/>
        <color indexed="12"/>
        <rFont val="Arial"/>
        <family val="2"/>
      </rPr>
      <t>:</t>
    </r>
  </si>
  <si>
    <r>
      <t>11 - Next object in line</t>
    </r>
    <r>
      <rPr>
        <sz val="10"/>
        <color indexed="12"/>
        <rFont val="Arial"/>
        <family val="2"/>
      </rPr>
      <t>:</t>
    </r>
  </si>
  <si>
    <r>
      <t>12 - Next object in line</t>
    </r>
    <r>
      <rPr>
        <sz val="10"/>
        <color indexed="12"/>
        <rFont val="Arial"/>
        <family val="2"/>
      </rPr>
      <t>:</t>
    </r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</si>
  <si>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</si>
  <si>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</si>
  <si>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</si>
  <si>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</si>
  <si>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</si>
  <si>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</si>
  <si>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</si>
  <si>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</si>
  <si>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</si>
  <si>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-35.7298 -47.5612 -850.466</t>
  </si>
  <si>
    <t>-25.73 -47.561 -850.546</t>
  </si>
  <si>
    <t>-25.604 -63.772 -829.421</t>
  </si>
  <si>
    <t xml:space="preserve">The orientation inserted above can be obtained from the default orientation </t>
  </si>
  <si>
    <r>
      <t xml:space="preserve">by the following successive rotations about the </t>
    </r>
    <r>
      <rPr>
        <b/>
        <sz val="10"/>
        <rFont val="Arial"/>
        <family val="2"/>
      </rPr>
      <t>fixed world</t>
    </r>
    <r>
      <rPr>
        <sz val="10"/>
        <rFont val="Arial"/>
      </rPr>
      <t xml:space="preserve"> axes:</t>
    </r>
  </si>
  <si>
    <r>
      <t xml:space="preserve">Caution:  addition of another rotation about the </t>
    </r>
    <r>
      <rPr>
        <b/>
        <sz val="10"/>
        <rFont val="Arial"/>
        <family val="2"/>
      </rPr>
      <t>object</t>
    </r>
    <r>
      <rPr>
        <sz val="10"/>
        <rFont val="Arial"/>
        <family val="2"/>
      </rPr>
      <t xml:space="preserve"> axes does not simply add to these </t>
    </r>
    <r>
      <rPr>
        <b/>
        <sz val="10"/>
        <rFont val="Arial"/>
        <family val="2"/>
      </rPr>
      <t>world</t>
    </r>
    <r>
      <rPr>
        <sz val="10"/>
        <rFont val="Arial"/>
        <family val="2"/>
      </rPr>
      <t>-based values, but mixes them!</t>
    </r>
  </si>
  <si>
    <r>
      <t xml:space="preserve">4)  Copy (Ctrl-C) the contents of the </t>
    </r>
    <r>
      <rPr>
        <b/>
        <sz val="10"/>
        <color indexed="10"/>
        <rFont val="Arial"/>
        <family val="2"/>
      </rPr>
      <t>RESULT</t>
    </r>
    <r>
      <rPr>
        <b/>
        <sz val="10"/>
        <color indexed="9"/>
        <rFont val="Arial"/>
        <family val="2"/>
      </rPr>
      <t xml:space="preserve"> cell</t>
    </r>
  </si>
  <si>
    <r>
      <t xml:space="preserve">4)  Copy (Ctrl-C) the contents of the desired </t>
    </r>
    <r>
      <rPr>
        <b/>
        <sz val="10"/>
        <color indexed="10"/>
        <rFont val="Arial"/>
        <family val="2"/>
      </rPr>
      <t>RESULT</t>
    </r>
    <r>
      <rPr>
        <b/>
        <sz val="10"/>
        <color indexed="9"/>
        <rFont val="Arial"/>
        <family val="2"/>
      </rPr>
      <t xml:space="preserve"> cell</t>
    </r>
  </si>
  <si>
    <t>6)  Save the world tile file(s) and reload the route</t>
  </si>
  <si>
    <t>If you wish to add more objects to this line, copy the last tile numbers and Position coordinates into step 4) above</t>
  </si>
  <si>
    <t>Some objects (like telephone poles and gantries) should stay vertical,</t>
  </si>
  <si>
    <t>while others should be tilted (banked) to fit the slope of the track/road.</t>
  </si>
  <si>
    <t>- object stays vertical</t>
  </si>
  <si>
    <t>A)  Object turned +90° about vertical axis, BANKED with sloping track/road:</t>
  </si>
  <si>
    <t>B)  Object turned -90° about vertical axis, BANKED with sloping track/road:</t>
  </si>
  <si>
    <t>C)  Object turned +90° about vertical axis, staying VERTICAL:</t>
  </si>
  <si>
    <t>D)  Object turned -90° about vertical axis, staying VERTICAL:</t>
  </si>
  <si>
    <t>first chord turns a/2, others a</t>
  </si>
  <si>
    <t>1)  Move the camera to the START position of the line to be built</t>
  </si>
  <si>
    <t>2)  Specify the tile numbers for the START position</t>
  </si>
  <si>
    <t>3)  Specify the START position's tile coordinates, in one of two ways</t>
  </si>
  <si>
    <t>4)  Move the camera to the END position of the line to be built</t>
  </si>
  <si>
    <t>5)  Specify the tile numbers for the END position</t>
  </si>
  <si>
    <t>6)  Specify the END position's tile coordinates, in one of two ways</t>
  </si>
  <si>
    <t>%)</t>
  </si>
  <si>
    <t>° (&gt;0 to E)</t>
  </si>
  <si>
    <t>INTERMEDIATE RESULTS:</t>
  </si>
  <si>
    <t>bank (right down &gt;0°):</t>
  </si>
  <si>
    <t>slope (nose up &gt;0°):</t>
  </si>
  <si>
    <t>LEVEL</t>
  </si>
  <si>
    <t>SLOPED</t>
  </si>
  <si>
    <t>HORIZONTAL ORIENTATION (will reach end position at same altitude as start position)</t>
  </si>
  <si>
    <t>SLOPED ORIENTATION (will reach end position at its own altitude)</t>
  </si>
  <si>
    <t>q-A2(MSTS)=</t>
  </si>
  <si>
    <t>start STRAIGHT</t>
  </si>
  <si>
    <t>q2(MSTS)=q1=</t>
  </si>
  <si>
    <t>q2"(MSTS)=q1.q-A2=</t>
  </si>
  <si>
    <t>d1x,d1y,d1z=</t>
  </si>
  <si>
    <t>start LEFT CURVE</t>
  </si>
  <si>
    <t>start RIGHT CURVE</t>
  </si>
  <si>
    <t>q2(MSTS)=antipar(q1)=</t>
  </si>
  <si>
    <t>P2x,P2y,P2z=P1x,P1y,P1z=</t>
  </si>
  <si>
    <t>R</t>
  </si>
  <si>
    <t>-0.00787108 -0.95339 0.024965 0.300604</t>
  </si>
  <si>
    <t>-440.108 5.5449 -179.118</t>
  </si>
  <si>
    <t>left&amp;straight:</t>
  </si>
  <si>
    <t xml:space="preserve">CAUTION:  no check for change of tile is included here! </t>
  </si>
  <si>
    <t>If x- or z-position falls below -1024 or above 1024, a change of tile is necessary.</t>
  </si>
  <si>
    <t>LL or LS</t>
  </si>
  <si>
    <t>LR</t>
  </si>
  <si>
    <t>SL or SS</t>
  </si>
  <si>
    <t>SR</t>
  </si>
  <si>
    <t>RL or RS</t>
  </si>
  <si>
    <t>RR</t>
  </si>
  <si>
    <t>select result by successive ifs</t>
  </si>
  <si>
    <t xml:space="preserve">NOTES:  </t>
  </si>
  <si>
    <t>- this sheet will not work for multi-track sections (such as A2t…, A3t…, etc.)</t>
  </si>
  <si>
    <t>- do not use this sheet for compound track sections that contain both straight and curved segments,</t>
  </si>
  <si>
    <t>such as A1tEndPt… sections, or dynamic curved track sections with both curved and  straight segments.</t>
  </si>
  <si>
    <t>1)  Enter data for the EXISTING track section</t>
  </si>
  <si>
    <t>2)  Enter data for the NEXT (new) track section</t>
  </si>
  <si>
    <t>This sheet will produce Position and QDirection data for the next track section.</t>
  </si>
  <si>
    <t>NEXT TRACK SECTION - attach the next track section to an existing track section</t>
  </si>
  <si>
    <r>
      <t>Attaching the next track section means joining another (single-) track section to an existing one</t>
    </r>
    <r>
      <rPr>
        <sz val="10"/>
        <rFont val="Arial"/>
        <family val="2"/>
      </rPr>
      <t>,</t>
    </r>
  </si>
  <si>
    <t>or when placing tracks deep underground or high above ground.</t>
  </si>
  <si>
    <t>Note:  you may terminate the line near the end position with a shorter track or road section.</t>
  </si>
  <si>
    <r>
      <t xml:space="preserve">7)  Copy the desired QDirection data into part 1) of the </t>
    </r>
    <r>
      <rPr>
        <b/>
        <sz val="10"/>
        <rFont val="Arial"/>
        <family val="2"/>
      </rPr>
      <t>Line up</t>
    </r>
    <r>
      <rPr>
        <b/>
        <sz val="10"/>
        <color indexed="9"/>
        <rFont val="Arial"/>
        <family val="2"/>
      </rPr>
      <t xml:space="preserve"> sheet</t>
    </r>
  </si>
  <si>
    <t>© 2013 Michael Vone</t>
  </si>
  <si>
    <t>Object Rotator for MSTS
Version 2.0a (freeware)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</si>
</sst>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29" x14ac:knownFonts="1">
    <font>
      <sz val="10"/>
      <name val="Arial"/>
    </font>
    <font>
      <sz val="10"/>
      <color indexed="22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48"/>
      <name val="Arial"/>
      <family val="2"/>
    </font>
    <font>
      <b/>
      <sz val="10"/>
      <color indexed="12"/>
      <name val="Arial"/>
      <family val="2"/>
    </font>
    <font>
      <sz val="10"/>
      <color indexed="14"/>
      <name val="Arial"/>
      <family val="2"/>
    </font>
    <font>
      <b/>
      <sz val="10"/>
      <color indexed="10"/>
      <name val="Arial"/>
      <family val="2"/>
    </font>
    <font>
      <b/>
      <sz val="10"/>
      <color indexed="57"/>
      <name val="Arial"/>
      <family val="2"/>
    </font>
    <font>
      <b/>
      <sz val="10"/>
      <color indexed="52"/>
      <name val="Arial"/>
      <family val="2"/>
    </font>
    <font>
      <b/>
      <sz val="10"/>
      <color indexed="17"/>
      <name val="Arial"/>
      <family val="2"/>
    </font>
    <font>
      <b/>
      <sz val="10"/>
      <color indexed="48"/>
      <name val="Arial"/>
      <family val="2"/>
    </font>
    <font>
      <b/>
      <sz val="10"/>
      <color indexed="49"/>
      <name val="Arial"/>
      <family val="2"/>
    </font>
    <font>
      <b/>
      <sz val="10"/>
      <color indexed="11"/>
      <name val="Arial"/>
      <family val="2"/>
    </font>
    <font>
      <sz val="10"/>
      <color indexed="57"/>
      <name val="Arial"/>
      <family val="2"/>
    </font>
    <font>
      <sz val="10"/>
      <color indexed="63"/>
      <name val="Arial"/>
      <family val="2"/>
    </font>
    <font>
      <sz val="10"/>
      <color indexed="11"/>
      <name val="Arial"/>
      <family val="2"/>
    </font>
    <font>
      <u/>
      <sz val="10"/>
      <name val="Arial"/>
      <family val="2"/>
    </font>
    <font>
      <b/>
      <u/>
      <sz val="10"/>
      <color indexed="9"/>
      <name val="Arial"/>
      <family val="2"/>
    </font>
    <font>
      <b/>
      <sz val="10"/>
      <color indexed="14"/>
      <name val="Arial"/>
      <family val="2"/>
    </font>
    <font>
      <b/>
      <u/>
      <sz val="10"/>
      <name val="Arial"/>
      <family val="2"/>
    </font>
    <font>
      <sz val="10"/>
      <name val="Courier New"/>
      <family val="3"/>
    </font>
    <font>
      <sz val="10"/>
      <color indexed="5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quotePrefix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3" borderId="0" xfId="0" applyFont="1" applyFill="1"/>
    <xf numFmtId="0" fontId="2" fillId="5" borderId="0" xfId="0" applyFont="1" applyFill="1"/>
    <xf numFmtId="0" fontId="2" fillId="6" borderId="0" xfId="0" applyFont="1" applyFill="1"/>
    <xf numFmtId="0" fontId="0" fillId="7" borderId="0" xfId="0" applyFill="1"/>
    <xf numFmtId="0" fontId="2" fillId="7" borderId="0" xfId="0" applyFont="1" applyFill="1"/>
    <xf numFmtId="0" fontId="3" fillId="0" borderId="0" xfId="0" applyFont="1"/>
    <xf numFmtId="0" fontId="4" fillId="0" borderId="0" xfId="0" applyFont="1"/>
    <xf numFmtId="0" fontId="5" fillId="3" borderId="0" xfId="0" applyFont="1" applyFill="1"/>
    <xf numFmtId="0" fontId="2" fillId="0" borderId="0" xfId="0" applyFont="1" applyFill="1"/>
    <xf numFmtId="0" fontId="4" fillId="0" borderId="0" xfId="0" applyFont="1" applyFill="1"/>
    <xf numFmtId="0" fontId="5" fillId="6" borderId="0" xfId="0" applyFont="1" applyFill="1"/>
    <xf numFmtId="0" fontId="5" fillId="5" borderId="0" xfId="0" applyFont="1" applyFill="1"/>
    <xf numFmtId="0" fontId="1" fillId="0" borderId="0" xfId="0" applyFont="1" applyFill="1"/>
    <xf numFmtId="0" fontId="1" fillId="0" borderId="0" xfId="0" applyFont="1" applyAlignment="1">
      <alignment horizontal="right"/>
    </xf>
    <xf numFmtId="0" fontId="8" fillId="0" borderId="0" xfId="0" applyFont="1" applyFill="1"/>
    <xf numFmtId="0" fontId="2" fillId="4" borderId="0" xfId="0" applyFont="1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5" borderId="0" xfId="0" applyFill="1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right"/>
    </xf>
    <xf numFmtId="0" fontId="6" fillId="0" borderId="0" xfId="0" applyFont="1"/>
    <xf numFmtId="0" fontId="1" fillId="0" borderId="0" xfId="0" quotePrefix="1" applyFont="1"/>
    <xf numFmtId="0" fontId="14" fillId="0" borderId="0" xfId="0" applyFont="1"/>
    <xf numFmtId="0" fontId="0" fillId="8" borderId="0" xfId="0" applyFill="1"/>
    <xf numFmtId="0" fontId="8" fillId="2" borderId="0" xfId="0" applyFont="1" applyFill="1"/>
    <xf numFmtId="0" fontId="0" fillId="6" borderId="0" xfId="0" applyFill="1"/>
    <xf numFmtId="0" fontId="5" fillId="0" borderId="0" xfId="0" applyFont="1" applyFill="1"/>
    <xf numFmtId="0" fontId="6" fillId="0" borderId="0" xfId="0" applyFont="1" applyFill="1"/>
    <xf numFmtId="0" fontId="8" fillId="0" borderId="0" xfId="0" applyFont="1"/>
    <xf numFmtId="0" fontId="2" fillId="0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0" fontId="17" fillId="0" borderId="0" xfId="0" applyFont="1"/>
    <xf numFmtId="0" fontId="0" fillId="0" borderId="0" xfId="0" applyBorder="1"/>
    <xf numFmtId="0" fontId="4" fillId="0" borderId="0" xfId="0" applyFont="1" applyBorder="1"/>
    <xf numFmtId="0" fontId="16" fillId="0" borderId="0" xfId="0" applyFont="1"/>
    <xf numFmtId="0" fontId="8" fillId="0" borderId="1" xfId="0" applyFont="1" applyBorder="1"/>
    <xf numFmtId="0" fontId="14" fillId="0" borderId="0" xfId="0" applyFont="1" applyFill="1"/>
    <xf numFmtId="0" fontId="6" fillId="2" borderId="0" xfId="0" applyFont="1" applyFill="1"/>
    <xf numFmtId="0" fontId="1" fillId="0" borderId="0" xfId="0" applyFont="1" applyBorder="1"/>
    <xf numFmtId="0" fontId="13" fillId="0" borderId="0" xfId="0" applyFont="1" applyFill="1"/>
    <xf numFmtId="0" fontId="1" fillId="0" borderId="0" xfId="0" applyFont="1" applyAlignment="1">
      <alignment horizontal="left"/>
    </xf>
    <xf numFmtId="0" fontId="18" fillId="0" borderId="0" xfId="0" applyFont="1"/>
    <xf numFmtId="0" fontId="2" fillId="7" borderId="0" xfId="0" applyFont="1" applyFill="1" applyAlignment="1">
      <alignment horizontal="left"/>
    </xf>
    <xf numFmtId="0" fontId="13" fillId="0" borderId="0" xfId="0" applyFont="1"/>
    <xf numFmtId="0" fontId="8" fillId="0" borderId="0" xfId="0" quotePrefix="1" applyFont="1"/>
    <xf numFmtId="0" fontId="0" fillId="9" borderId="0" xfId="0" applyFill="1"/>
    <xf numFmtId="0" fontId="0" fillId="10" borderId="0" xfId="0" applyFill="1"/>
    <xf numFmtId="0" fontId="0" fillId="10" borderId="1" xfId="0" applyFill="1" applyBorder="1"/>
    <xf numFmtId="0" fontId="0" fillId="10" borderId="0" xfId="0" applyFill="1" applyBorder="1"/>
    <xf numFmtId="165" fontId="8" fillId="9" borderId="0" xfId="0" applyNumberFormat="1" applyFont="1" applyFill="1"/>
    <xf numFmtId="0" fontId="2" fillId="10" borderId="0" xfId="0" applyFont="1" applyFill="1" applyAlignment="1">
      <alignment horizontal="left"/>
    </xf>
    <xf numFmtId="0" fontId="2" fillId="7" borderId="0" xfId="0" applyFont="1" applyFill="1" applyProtection="1">
      <protection locked="0"/>
    </xf>
    <xf numFmtId="0" fontId="7" fillId="5" borderId="0" xfId="0" applyFont="1" applyFill="1" applyProtection="1">
      <protection locked="0"/>
    </xf>
    <xf numFmtId="0" fontId="0" fillId="0" borderId="0" xfId="0" applyFill="1" applyBorder="1"/>
    <xf numFmtId="0" fontId="0" fillId="8" borderId="0" xfId="0" applyFill="1" applyProtection="1">
      <protection locked="0"/>
    </xf>
    <xf numFmtId="0" fontId="2" fillId="4" borderId="0" xfId="0" applyFont="1" applyFill="1" applyBorder="1"/>
    <xf numFmtId="0" fontId="0" fillId="4" borderId="0" xfId="0" applyFill="1" applyBorder="1"/>
    <xf numFmtId="0" fontId="0" fillId="8" borderId="0" xfId="0" applyFill="1" applyAlignment="1" applyProtection="1">
      <alignment horizontal="center"/>
      <protection locked="0"/>
    </xf>
    <xf numFmtId="0" fontId="0" fillId="6" borderId="0" xfId="0" applyFill="1" applyProtection="1">
      <protection locked="0"/>
    </xf>
    <xf numFmtId="0" fontId="0" fillId="9" borderId="0" xfId="0" applyFill="1" applyProtection="1">
      <protection locked="0"/>
    </xf>
    <xf numFmtId="0" fontId="8" fillId="5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0" fillId="11" borderId="0" xfId="0" applyFill="1" applyProtection="1">
      <protection locked="0"/>
    </xf>
    <xf numFmtId="0" fontId="1" fillId="0" borderId="0" xfId="0" applyFont="1" applyFill="1" applyAlignment="1">
      <alignment horizontal="right"/>
    </xf>
    <xf numFmtId="0" fontId="1" fillId="10" borderId="0" xfId="0" applyFont="1" applyFill="1"/>
    <xf numFmtId="0" fontId="5" fillId="3" borderId="0" xfId="0" quotePrefix="1" applyFont="1" applyFill="1"/>
    <xf numFmtId="0" fontId="14" fillId="0" borderId="1" xfId="0" applyFont="1" applyBorder="1"/>
    <xf numFmtId="0" fontId="19" fillId="0" borderId="0" xfId="0" applyFont="1"/>
    <xf numFmtId="165" fontId="8" fillId="0" borderId="0" xfId="0" applyNumberFormat="1" applyFont="1" applyFill="1"/>
    <xf numFmtId="0" fontId="5" fillId="7" borderId="0" xfId="0" applyFont="1" applyFill="1"/>
    <xf numFmtId="0" fontId="5" fillId="7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165" fontId="2" fillId="7" borderId="0" xfId="0" applyNumberFormat="1" applyFont="1" applyFill="1"/>
    <xf numFmtId="0" fontId="1" fillId="7" borderId="0" xfId="0" applyFont="1" applyFill="1"/>
    <xf numFmtId="0" fontId="5" fillId="7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0" fillId="0" borderId="0" xfId="0" applyFont="1" applyFill="1"/>
    <xf numFmtId="0" fontId="1" fillId="0" borderId="0" xfId="0" applyFont="1" applyFill="1" applyProtection="1">
      <protection locked="0"/>
    </xf>
    <xf numFmtId="0" fontId="2" fillId="12" borderId="0" xfId="0" applyFont="1" applyFill="1"/>
    <xf numFmtId="0" fontId="15" fillId="0" borderId="1" xfId="0" applyFont="1" applyFill="1" applyBorder="1"/>
    <xf numFmtId="0" fontId="21" fillId="0" borderId="1" xfId="0" applyFont="1" applyBorder="1"/>
    <xf numFmtId="0" fontId="15" fillId="0" borderId="0" xfId="0" applyFont="1" applyFill="1" applyBorder="1"/>
    <xf numFmtId="0" fontId="0" fillId="6" borderId="0" xfId="0" applyFill="1" applyBorder="1" applyProtection="1">
      <protection locked="0"/>
    </xf>
    <xf numFmtId="0" fontId="21" fillId="0" borderId="0" xfId="0" applyFont="1" applyBorder="1"/>
    <xf numFmtId="0" fontId="2" fillId="10" borderId="0" xfId="0" applyFont="1" applyFill="1"/>
    <xf numFmtId="0" fontId="2" fillId="12" borderId="0" xfId="0" applyFont="1" applyFill="1" applyBorder="1"/>
    <xf numFmtId="0" fontId="0" fillId="12" borderId="0" xfId="0" applyFill="1" applyBorder="1"/>
    <xf numFmtId="0" fontId="1" fillId="13" borderId="0" xfId="0" applyFont="1" applyFill="1"/>
    <xf numFmtId="0" fontId="8" fillId="13" borderId="0" xfId="0" applyFont="1" applyFill="1"/>
    <xf numFmtId="0" fontId="8" fillId="14" borderId="0" xfId="0" applyFont="1" applyFill="1"/>
    <xf numFmtId="0" fontId="1" fillId="14" borderId="0" xfId="0" applyFont="1" applyFill="1"/>
    <xf numFmtId="0" fontId="0" fillId="14" borderId="0" xfId="0" applyFill="1"/>
    <xf numFmtId="0" fontId="0" fillId="13" borderId="0" xfId="0" applyFill="1"/>
    <xf numFmtId="0" fontId="12" fillId="10" borderId="0" xfId="0" applyFont="1" applyFill="1"/>
    <xf numFmtId="0" fontId="8" fillId="14" borderId="0" xfId="0" applyFont="1" applyFill="1" applyAlignment="1">
      <alignment horizontal="center"/>
    </xf>
    <xf numFmtId="0" fontId="5" fillId="4" borderId="2" xfId="0" applyFont="1" applyFill="1" applyBorder="1"/>
    <xf numFmtId="0" fontId="0" fillId="10" borderId="3" xfId="0" applyFill="1" applyBorder="1" applyAlignment="1">
      <alignment horizontal="right"/>
    </xf>
    <xf numFmtId="0" fontId="0" fillId="10" borderId="4" xfId="0" applyFill="1" applyBorder="1"/>
    <xf numFmtId="0" fontId="0" fillId="10" borderId="5" xfId="0" applyFill="1" applyBorder="1"/>
    <xf numFmtId="0" fontId="0" fillId="10" borderId="6" xfId="0" applyFill="1" applyBorder="1"/>
    <xf numFmtId="0" fontId="0" fillId="10" borderId="0" xfId="0" applyFill="1" applyBorder="1" applyAlignment="1">
      <alignment horizontal="right"/>
    </xf>
    <xf numFmtId="0" fontId="0" fillId="10" borderId="7" xfId="0" applyFill="1" applyBorder="1"/>
    <xf numFmtId="0" fontId="0" fillId="10" borderId="1" xfId="0" applyFill="1" applyBorder="1" applyAlignment="1">
      <alignment horizontal="right"/>
    </xf>
    <xf numFmtId="0" fontId="0" fillId="10" borderId="8" xfId="0" applyFill="1" applyBorder="1"/>
    <xf numFmtId="0" fontId="0" fillId="13" borderId="3" xfId="0" applyFill="1" applyBorder="1" applyAlignment="1">
      <alignment horizontal="right"/>
    </xf>
    <xf numFmtId="0" fontId="0" fillId="13" borderId="4" xfId="0" applyFill="1" applyBorder="1"/>
    <xf numFmtId="0" fontId="0" fillId="13" borderId="5" xfId="0" applyFill="1" applyBorder="1"/>
    <xf numFmtId="0" fontId="0" fillId="13" borderId="0" xfId="0" applyFill="1" applyBorder="1" applyAlignment="1">
      <alignment horizontal="right"/>
    </xf>
    <xf numFmtId="0" fontId="0" fillId="13" borderId="0" xfId="0" applyFill="1" applyBorder="1"/>
    <xf numFmtId="0" fontId="0" fillId="13" borderId="6" xfId="0" applyFill="1" applyBorder="1"/>
    <xf numFmtId="0" fontId="0" fillId="13" borderId="7" xfId="0" applyFill="1" applyBorder="1"/>
    <xf numFmtId="0" fontId="0" fillId="13" borderId="1" xfId="0" applyFill="1" applyBorder="1" applyAlignment="1">
      <alignment horizontal="right"/>
    </xf>
    <xf numFmtId="0" fontId="0" fillId="13" borderId="1" xfId="0" applyFill="1" applyBorder="1"/>
    <xf numFmtId="0" fontId="0" fillId="13" borderId="8" xfId="0" applyFill="1" applyBorder="1"/>
    <xf numFmtId="0" fontId="5" fillId="15" borderId="2" xfId="0" applyFont="1" applyFill="1" applyBorder="1"/>
    <xf numFmtId="0" fontId="25" fillId="0" borderId="0" xfId="0" applyFont="1"/>
    <xf numFmtId="165" fontId="1" fillId="0" borderId="0" xfId="0" applyNumberFormat="1" applyFont="1"/>
    <xf numFmtId="0" fontId="0" fillId="0" borderId="0" xfId="0" applyAlignment="1">
      <alignment horizontal="center"/>
    </xf>
    <xf numFmtId="0" fontId="0" fillId="0" borderId="9" xfId="0" applyBorder="1"/>
    <xf numFmtId="0" fontId="1" fillId="0" borderId="9" xfId="0" applyFont="1" applyBorder="1"/>
    <xf numFmtId="0" fontId="1" fillId="0" borderId="9" xfId="0" quotePrefix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right"/>
    </xf>
    <xf numFmtId="0" fontId="8" fillId="0" borderId="0" xfId="0" applyFont="1" applyBorder="1"/>
    <xf numFmtId="0" fontId="0" fillId="10" borderId="0" xfId="0" applyFill="1" applyProtection="1">
      <protection locked="0"/>
    </xf>
    <xf numFmtId="0" fontId="0" fillId="10" borderId="0" xfId="0" quotePrefix="1" applyFill="1" applyProtection="1">
      <protection locked="0"/>
    </xf>
    <xf numFmtId="0" fontId="1" fillId="7" borderId="0" xfId="0" quotePrefix="1" applyFont="1" applyFill="1"/>
    <xf numFmtId="0" fontId="8" fillId="8" borderId="0" xfId="0" applyFont="1" applyFill="1" applyAlignment="1" applyProtection="1">
      <alignment horizontal="center"/>
      <protection locked="0"/>
    </xf>
    <xf numFmtId="0" fontId="8" fillId="11" borderId="0" xfId="0" applyFont="1" applyFill="1" applyAlignment="1" applyProtection="1">
      <alignment horizontal="center"/>
      <protection locked="0"/>
    </xf>
    <xf numFmtId="0" fontId="0" fillId="6" borderId="3" xfId="0" applyFill="1" applyBorder="1" applyProtection="1">
      <protection locked="0"/>
    </xf>
    <xf numFmtId="0" fontId="0" fillId="9" borderId="0" xfId="0" applyFill="1" applyBorder="1" applyProtection="1">
      <protection locked="0"/>
    </xf>
    <xf numFmtId="0" fontId="8" fillId="5" borderId="0" xfId="0" applyFont="1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8" fillId="5" borderId="1" xfId="0" applyFont="1" applyFill="1" applyBorder="1" applyProtection="1">
      <protection locked="0"/>
    </xf>
    <xf numFmtId="0" fontId="0" fillId="14" borderId="0" xfId="0" applyFill="1" applyProtection="1"/>
    <xf numFmtId="0" fontId="9" fillId="14" borderId="0" xfId="0" applyFont="1" applyFill="1" applyProtection="1"/>
    <xf numFmtId="0" fontId="27" fillId="0" borderId="0" xfId="0" applyFont="1"/>
    <xf numFmtId="0" fontId="0" fillId="8" borderId="0" xfId="0" quotePrefix="1" applyFill="1" applyProtection="1">
      <protection locked="0"/>
    </xf>
    <xf numFmtId="0" fontId="0" fillId="0" borderId="0" xfId="0" quotePrefix="1" applyFill="1" applyProtection="1">
      <protection locked="0"/>
    </xf>
    <xf numFmtId="0" fontId="1" fillId="11" borderId="0" xfId="0" applyFont="1" applyFill="1"/>
    <xf numFmtId="0" fontId="0" fillId="11" borderId="0" xfId="0" applyFill="1" applyBorder="1"/>
    <xf numFmtId="0" fontId="1" fillId="11" borderId="0" xfId="0" applyFont="1" applyFill="1" applyBorder="1"/>
    <xf numFmtId="0" fontId="1" fillId="14" borderId="0" xfId="0" applyFont="1" applyFill="1" applyBorder="1"/>
    <xf numFmtId="0" fontId="1" fillId="14" borderId="0" xfId="0" applyFont="1" applyFill="1" applyBorder="1" applyAlignment="1">
      <alignment horizontal="right"/>
    </xf>
    <xf numFmtId="0" fontId="0" fillId="14" borderId="0" xfId="0" applyFill="1" applyBorder="1"/>
    <xf numFmtId="0" fontId="8" fillId="11" borderId="0" xfId="0" applyFont="1" applyFill="1" applyBorder="1"/>
    <xf numFmtId="0" fontId="1" fillId="13" borderId="0" xfId="0" applyFont="1" applyFill="1" applyBorder="1"/>
    <xf numFmtId="0" fontId="8" fillId="13" borderId="0" xfId="0" applyFont="1" applyFill="1" applyBorder="1"/>
    <xf numFmtId="0" fontId="28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right"/>
    </xf>
    <xf numFmtId="0" fontId="1" fillId="10" borderId="1" xfId="0" applyFont="1" applyFill="1" applyBorder="1"/>
    <xf numFmtId="0" fontId="0" fillId="0" borderId="10" xfId="0" applyBorder="1"/>
    <xf numFmtId="0" fontId="0" fillId="14" borderId="10" xfId="0" applyFill="1" applyBorder="1"/>
    <xf numFmtId="0" fontId="2" fillId="16" borderId="0" xfId="0" applyFont="1" applyFill="1"/>
    <xf numFmtId="0" fontId="3" fillId="0" borderId="0" xfId="0" applyFont="1" applyBorder="1"/>
    <xf numFmtId="0" fontId="4" fillId="0" borderId="0" xfId="0" applyFont="1" applyFill="1" applyBorder="1"/>
    <xf numFmtId="0" fontId="0" fillId="11" borderId="0" xfId="0" applyFill="1" applyAlignment="1">
      <alignment horizontal="right"/>
    </xf>
    <xf numFmtId="0" fontId="0" fillId="11" borderId="0" xfId="0" applyFill="1" applyBorder="1" applyAlignment="1">
      <alignment horizontal="right"/>
    </xf>
    <xf numFmtId="0" fontId="0" fillId="11" borderId="0" xfId="0" applyFill="1"/>
    <xf numFmtId="0" fontId="0" fillId="10" borderId="0" xfId="0" applyFill="1" applyAlignment="1">
      <alignment horizontal="right"/>
    </xf>
    <xf numFmtId="0" fontId="1" fillId="10" borderId="0" xfId="0" applyFont="1" applyFill="1" applyBorder="1"/>
    <xf numFmtId="0" fontId="8" fillId="0" borderId="0" xfId="0" quotePrefix="1" applyFont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6" borderId="0" xfId="0" applyFont="1" applyFill="1" applyAlignment="1" applyProtection="1">
      <alignment horizontal="center"/>
      <protection locked="0"/>
    </xf>
    <xf numFmtId="0" fontId="0" fillId="5" borderId="0" xfId="0" applyFill="1" applyBorder="1" applyProtection="1">
      <protection locked="0"/>
    </xf>
    <xf numFmtId="0" fontId="6" fillId="4" borderId="0" xfId="0" applyFont="1" applyFill="1" applyProtection="1">
      <protection locked="0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abSelected="1" workbookViewId="0">
      <selection activeCell="A3" sqref="A3"/>
    </sheetView>
  </sheetViews>
  <sheetFormatPr defaultRowHeight="12.75" x14ac:dyDescent="0.2"/>
  <sheetData>
    <row r="1" spans="1:8" x14ac:dyDescent="0.2">
      <c r="A1" s="185" t="s">
        <v>1363</v>
      </c>
      <c r="B1" s="186"/>
      <c r="C1" s="186"/>
      <c r="D1" s="187" t="s">
        <v>1362</v>
      </c>
      <c r="E1" s="187"/>
      <c r="F1" s="187"/>
      <c r="G1" s="187"/>
      <c r="H1" s="187"/>
    </row>
    <row r="2" spans="1:8" x14ac:dyDescent="0.2">
      <c r="A2" s="186"/>
      <c r="B2" s="186"/>
      <c r="C2" s="186"/>
      <c r="D2" s="187"/>
      <c r="E2" s="187"/>
      <c r="F2" s="187"/>
      <c r="G2" s="187"/>
      <c r="H2" s="187"/>
    </row>
    <row r="3" spans="1:8" ht="13.5" x14ac:dyDescent="0.25">
      <c r="A3" s="150" t="s">
        <v>741</v>
      </c>
    </row>
    <row r="4" spans="1:8" x14ac:dyDescent="0.2">
      <c r="A4" s="33" t="s">
        <v>933</v>
      </c>
    </row>
    <row r="5" spans="1:8" x14ac:dyDescent="0.2">
      <c r="A5" s="33" t="s">
        <v>660</v>
      </c>
    </row>
    <row r="7" spans="1:8" x14ac:dyDescent="0.2">
      <c r="B7" t="s">
        <v>359</v>
      </c>
    </row>
    <row r="8" spans="1:8" x14ac:dyDescent="0.2">
      <c r="B8" t="s">
        <v>559</v>
      </c>
    </row>
    <row r="9" spans="1:8" x14ac:dyDescent="0.2">
      <c r="B9" t="s">
        <v>560</v>
      </c>
    </row>
    <row r="11" spans="1:8" x14ac:dyDescent="0.2">
      <c r="B11" t="s">
        <v>358</v>
      </c>
    </row>
    <row r="12" spans="1:8" x14ac:dyDescent="0.2">
      <c r="B12" t="s">
        <v>661</v>
      </c>
    </row>
    <row r="13" spans="1:8" x14ac:dyDescent="0.2">
      <c r="B13" t="s">
        <v>750</v>
      </c>
    </row>
    <row r="15" spans="1:8" x14ac:dyDescent="0.2">
      <c r="B15" t="s">
        <v>1073</v>
      </c>
    </row>
    <row r="16" spans="1:8" x14ac:dyDescent="0.2">
      <c r="B16" t="s">
        <v>568</v>
      </c>
    </row>
    <row r="17" spans="1:4" x14ac:dyDescent="0.2">
      <c r="B17" t="s">
        <v>569</v>
      </c>
    </row>
    <row r="19" spans="1:4" x14ac:dyDescent="0.2">
      <c r="B19" t="s">
        <v>664</v>
      </c>
    </row>
    <row r="20" spans="1:4" x14ac:dyDescent="0.2">
      <c r="B20" t="s">
        <v>662</v>
      </c>
    </row>
    <row r="21" spans="1:4" x14ac:dyDescent="0.2">
      <c r="B21" t="s">
        <v>663</v>
      </c>
    </row>
    <row r="22" spans="1:4" x14ac:dyDescent="0.2">
      <c r="B22" t="s">
        <v>1074</v>
      </c>
    </row>
    <row r="24" spans="1:4" x14ac:dyDescent="0.2">
      <c r="B24" t="s">
        <v>352</v>
      </c>
    </row>
    <row r="25" spans="1:4" x14ac:dyDescent="0.2">
      <c r="B25" t="s">
        <v>354</v>
      </c>
    </row>
    <row r="27" spans="1:4" x14ac:dyDescent="0.2">
      <c r="A27" t="s">
        <v>501</v>
      </c>
    </row>
    <row r="29" spans="1:4" x14ac:dyDescent="0.2">
      <c r="A29" t="s">
        <v>502</v>
      </c>
    </row>
    <row r="30" spans="1:4" x14ac:dyDescent="0.2">
      <c r="B30" t="s">
        <v>503</v>
      </c>
      <c r="C30" t="s">
        <v>1027</v>
      </c>
    </row>
    <row r="31" spans="1:4" x14ac:dyDescent="0.2">
      <c r="B31" t="s">
        <v>136</v>
      </c>
      <c r="C31" t="s">
        <v>1024</v>
      </c>
    </row>
    <row r="32" spans="1:4" x14ac:dyDescent="0.2">
      <c r="D32" t="s">
        <v>1025</v>
      </c>
    </row>
    <row r="33" spans="1:9" x14ac:dyDescent="0.2">
      <c r="C33" t="s">
        <v>1026</v>
      </c>
    </row>
    <row r="34" spans="1:9" s="28" customFormat="1" ht="13.5" thickBot="1" x14ac:dyDescent="0.25"/>
    <row r="35" spans="1:9" x14ac:dyDescent="0.2">
      <c r="A35" s="18" t="s">
        <v>665</v>
      </c>
      <c r="B35" s="8"/>
      <c r="C35" s="8"/>
      <c r="D35" s="8"/>
      <c r="E35" s="8"/>
      <c r="F35" s="8"/>
      <c r="G35" s="8"/>
      <c r="H35" s="8"/>
      <c r="I35" s="8"/>
    </row>
    <row r="37" spans="1:9" x14ac:dyDescent="0.2">
      <c r="A37" s="17" t="s">
        <v>43</v>
      </c>
      <c r="B37" s="33" t="s">
        <v>1234</v>
      </c>
    </row>
    <row r="39" spans="1:9" x14ac:dyDescent="0.2">
      <c r="A39" s="17" t="s">
        <v>965</v>
      </c>
      <c r="B39" s="17"/>
      <c r="C39" s="17"/>
    </row>
    <row r="40" spans="1:9" x14ac:dyDescent="0.2">
      <c r="B40" s="33" t="s">
        <v>966</v>
      </c>
    </row>
    <row r="41" spans="1:9" x14ac:dyDescent="0.2">
      <c r="B41" t="s">
        <v>45</v>
      </c>
      <c r="C41" s="3" t="s">
        <v>967</v>
      </c>
    </row>
    <row r="43" spans="1:9" x14ac:dyDescent="0.2">
      <c r="A43" s="17" t="s">
        <v>968</v>
      </c>
      <c r="B43" s="17"/>
      <c r="C43" s="17"/>
    </row>
    <row r="44" spans="1:9" x14ac:dyDescent="0.2">
      <c r="B44" s="33" t="s">
        <v>969</v>
      </c>
    </row>
    <row r="45" spans="1:9" x14ac:dyDescent="0.2">
      <c r="B45" t="s">
        <v>45</v>
      </c>
      <c r="C45" s="3" t="s">
        <v>972</v>
      </c>
    </row>
    <row r="46" spans="1:9" x14ac:dyDescent="0.2">
      <c r="D46" t="s">
        <v>973</v>
      </c>
    </row>
    <row r="48" spans="1:9" x14ac:dyDescent="0.2">
      <c r="A48" s="17" t="s">
        <v>974</v>
      </c>
      <c r="B48" s="17"/>
      <c r="C48" s="17"/>
    </row>
    <row r="49" spans="1:3" x14ac:dyDescent="0.2">
      <c r="B49" s="33" t="s">
        <v>975</v>
      </c>
    </row>
    <row r="50" spans="1:3" x14ac:dyDescent="0.2">
      <c r="B50" t="s">
        <v>497</v>
      </c>
      <c r="C50" s="3" t="s">
        <v>976</v>
      </c>
    </row>
    <row r="52" spans="1:3" x14ac:dyDescent="0.2">
      <c r="A52" s="17" t="s">
        <v>977</v>
      </c>
      <c r="B52" s="17"/>
      <c r="C52" s="17"/>
    </row>
    <row r="53" spans="1:3" x14ac:dyDescent="0.2">
      <c r="B53" s="33" t="s">
        <v>978</v>
      </c>
    </row>
    <row r="54" spans="1:3" x14ac:dyDescent="0.2">
      <c r="B54" t="s">
        <v>45</v>
      </c>
      <c r="C54" s="3" t="s">
        <v>979</v>
      </c>
    </row>
    <row r="56" spans="1:3" x14ac:dyDescent="0.2">
      <c r="A56" s="17" t="s">
        <v>980</v>
      </c>
      <c r="B56" s="17"/>
      <c r="C56" s="17"/>
    </row>
    <row r="57" spans="1:3" x14ac:dyDescent="0.2">
      <c r="B57" s="33" t="s">
        <v>981</v>
      </c>
    </row>
    <row r="58" spans="1:3" x14ac:dyDescent="0.2">
      <c r="B58" t="s">
        <v>45</v>
      </c>
      <c r="C58" s="3" t="s">
        <v>982</v>
      </c>
    </row>
    <row r="59" spans="1:3" x14ac:dyDescent="0.2">
      <c r="C59" s="3" t="s">
        <v>983</v>
      </c>
    </row>
    <row r="61" spans="1:3" x14ac:dyDescent="0.2">
      <c r="A61" s="17" t="s">
        <v>44</v>
      </c>
      <c r="B61" s="17"/>
      <c r="C61" s="17"/>
    </row>
    <row r="62" spans="1:3" x14ac:dyDescent="0.2">
      <c r="B62" s="33" t="s">
        <v>984</v>
      </c>
    </row>
    <row r="63" spans="1:3" x14ac:dyDescent="0.2">
      <c r="B63" t="s">
        <v>45</v>
      </c>
      <c r="C63" s="3" t="s">
        <v>985</v>
      </c>
    </row>
    <row r="64" spans="1:3" x14ac:dyDescent="0.2">
      <c r="C64" s="3" t="s">
        <v>986</v>
      </c>
    </row>
    <row r="66" spans="1:3" x14ac:dyDescent="0.2">
      <c r="A66" s="17" t="s">
        <v>987</v>
      </c>
      <c r="B66" s="17"/>
      <c r="C66" s="17"/>
    </row>
    <row r="67" spans="1:3" x14ac:dyDescent="0.2">
      <c r="B67" s="33" t="s">
        <v>988</v>
      </c>
    </row>
    <row r="68" spans="1:3" x14ac:dyDescent="0.2">
      <c r="B68" t="s">
        <v>45</v>
      </c>
      <c r="C68" s="3" t="s">
        <v>989</v>
      </c>
    </row>
    <row r="69" spans="1:3" x14ac:dyDescent="0.2">
      <c r="C69" s="3" t="s">
        <v>990</v>
      </c>
    </row>
    <row r="71" spans="1:3" x14ac:dyDescent="0.2">
      <c r="A71" s="17" t="s">
        <v>494</v>
      </c>
      <c r="B71" s="17"/>
      <c r="C71" s="17"/>
    </row>
    <row r="72" spans="1:3" x14ac:dyDescent="0.2">
      <c r="B72" s="33" t="s">
        <v>495</v>
      </c>
    </row>
    <row r="73" spans="1:3" x14ac:dyDescent="0.2">
      <c r="B73" t="s">
        <v>497</v>
      </c>
      <c r="C73" s="3" t="s">
        <v>496</v>
      </c>
    </row>
    <row r="75" spans="1:3" x14ac:dyDescent="0.2">
      <c r="A75" s="17" t="s">
        <v>991</v>
      </c>
      <c r="B75" s="17"/>
      <c r="C75" s="17"/>
    </row>
    <row r="76" spans="1:3" x14ac:dyDescent="0.2">
      <c r="B76" s="33" t="s">
        <v>992</v>
      </c>
    </row>
    <row r="77" spans="1:3" x14ac:dyDescent="0.2">
      <c r="B77" t="s">
        <v>45</v>
      </c>
      <c r="C77" s="3" t="s">
        <v>993</v>
      </c>
    </row>
    <row r="78" spans="1:3" x14ac:dyDescent="0.2">
      <c r="C78" s="3" t="s">
        <v>994</v>
      </c>
    </row>
    <row r="80" spans="1:3" x14ac:dyDescent="0.2">
      <c r="A80" s="17" t="s">
        <v>995</v>
      </c>
      <c r="B80" s="17"/>
      <c r="C80" s="17"/>
    </row>
    <row r="81" spans="1:5" x14ac:dyDescent="0.2">
      <c r="B81" s="33" t="s">
        <v>996</v>
      </c>
    </row>
    <row r="82" spans="1:5" x14ac:dyDescent="0.2">
      <c r="B82" t="s">
        <v>45</v>
      </c>
      <c r="C82" s="3" t="s">
        <v>997</v>
      </c>
    </row>
    <row r="84" spans="1:5" x14ac:dyDescent="0.2">
      <c r="A84" s="17" t="s">
        <v>998</v>
      </c>
      <c r="B84" s="17"/>
      <c r="C84" s="17"/>
    </row>
    <row r="85" spans="1:5" x14ac:dyDescent="0.2">
      <c r="B85" s="33" t="s">
        <v>999</v>
      </c>
    </row>
    <row r="86" spans="1:5" x14ac:dyDescent="0.2">
      <c r="B86" t="s">
        <v>45</v>
      </c>
      <c r="C86" s="3" t="s">
        <v>1000</v>
      </c>
    </row>
    <row r="88" spans="1:5" x14ac:dyDescent="0.2">
      <c r="A88" s="17" t="s">
        <v>1001</v>
      </c>
      <c r="B88" s="9"/>
      <c r="C88" s="9"/>
    </row>
    <row r="89" spans="1:5" x14ac:dyDescent="0.2">
      <c r="A89" s="39"/>
      <c r="B89" s="40" t="s">
        <v>1002</v>
      </c>
      <c r="C89" s="15"/>
      <c r="D89" s="15"/>
      <c r="E89" s="2"/>
    </row>
    <row r="90" spans="1:5" x14ac:dyDescent="0.2">
      <c r="A90" s="39"/>
      <c r="B90" s="40" t="s">
        <v>1003</v>
      </c>
      <c r="C90" s="15"/>
      <c r="D90" s="15"/>
      <c r="E90" s="2"/>
    </row>
    <row r="91" spans="1:5" x14ac:dyDescent="0.2">
      <c r="B91" t="s">
        <v>45</v>
      </c>
      <c r="C91" s="3" t="s">
        <v>1004</v>
      </c>
    </row>
    <row r="92" spans="1:5" x14ac:dyDescent="0.2">
      <c r="C92" s="3"/>
    </row>
    <row r="93" spans="1:5" x14ac:dyDescent="0.2">
      <c r="A93" s="17" t="s">
        <v>284</v>
      </c>
      <c r="B93" s="17"/>
      <c r="C93" s="17"/>
    </row>
    <row r="94" spans="1:5" x14ac:dyDescent="0.2">
      <c r="B94" s="33" t="s">
        <v>285</v>
      </c>
    </row>
    <row r="95" spans="1:5" x14ac:dyDescent="0.2">
      <c r="B95" t="s">
        <v>45</v>
      </c>
      <c r="C95" s="3" t="s">
        <v>286</v>
      </c>
    </row>
    <row r="96" spans="1:5" x14ac:dyDescent="0.2">
      <c r="C96" s="3"/>
    </row>
    <row r="97" spans="1:3" x14ac:dyDescent="0.2">
      <c r="A97" s="17" t="s">
        <v>1018</v>
      </c>
      <c r="B97" s="17"/>
      <c r="C97" s="17"/>
    </row>
    <row r="98" spans="1:3" x14ac:dyDescent="0.2">
      <c r="B98" s="33" t="s">
        <v>1020</v>
      </c>
    </row>
    <row r="99" spans="1:3" x14ac:dyDescent="0.2">
      <c r="B99" t="s">
        <v>45</v>
      </c>
      <c r="C99" s="3" t="s">
        <v>1022</v>
      </c>
    </row>
    <row r="100" spans="1:3" x14ac:dyDescent="0.2">
      <c r="C100" s="3"/>
    </row>
    <row r="101" spans="1:3" x14ac:dyDescent="0.2">
      <c r="A101" s="17" t="s">
        <v>1019</v>
      </c>
      <c r="B101" s="17"/>
      <c r="C101" s="17"/>
    </row>
    <row r="102" spans="1:3" x14ac:dyDescent="0.2">
      <c r="B102" s="33" t="s">
        <v>1021</v>
      </c>
      <c r="C102" s="3"/>
    </row>
    <row r="103" spans="1:3" x14ac:dyDescent="0.2">
      <c r="B103" t="s">
        <v>497</v>
      </c>
      <c r="C103" s="3" t="s">
        <v>1023</v>
      </c>
    </row>
    <row r="104" spans="1:3" x14ac:dyDescent="0.2">
      <c r="C104" s="3"/>
    </row>
    <row r="105" spans="1:3" x14ac:dyDescent="0.2">
      <c r="A105" s="17" t="s">
        <v>1059</v>
      </c>
      <c r="B105" s="17"/>
      <c r="C105" s="17"/>
    </row>
    <row r="106" spans="1:3" x14ac:dyDescent="0.2">
      <c r="B106" s="33" t="s">
        <v>1060</v>
      </c>
    </row>
    <row r="107" spans="1:3" x14ac:dyDescent="0.2">
      <c r="B107" t="s">
        <v>45</v>
      </c>
      <c r="C107" s="3" t="s">
        <v>1061</v>
      </c>
    </row>
    <row r="108" spans="1:3" x14ac:dyDescent="0.2">
      <c r="C108" s="3" t="s">
        <v>1062</v>
      </c>
    </row>
    <row r="109" spans="1:3" x14ac:dyDescent="0.2">
      <c r="C109" s="3"/>
    </row>
    <row r="110" spans="1:3" x14ac:dyDescent="0.2">
      <c r="A110" s="17" t="s">
        <v>339</v>
      </c>
      <c r="B110" s="17"/>
      <c r="C110" s="17"/>
    </row>
    <row r="111" spans="1:3" x14ac:dyDescent="0.2">
      <c r="B111" s="33" t="s">
        <v>340</v>
      </c>
    </row>
    <row r="112" spans="1:3" x14ac:dyDescent="0.2">
      <c r="B112" t="s">
        <v>45</v>
      </c>
      <c r="C112" s="3" t="s">
        <v>341</v>
      </c>
    </row>
    <row r="113" spans="1:5" x14ac:dyDescent="0.2">
      <c r="C113" s="3"/>
    </row>
    <row r="114" spans="1:5" x14ac:dyDescent="0.2">
      <c r="A114" s="17" t="s">
        <v>1068</v>
      </c>
      <c r="B114" s="17"/>
      <c r="C114" s="17"/>
    </row>
    <row r="115" spans="1:5" x14ac:dyDescent="0.2">
      <c r="B115" s="33" t="s">
        <v>1063</v>
      </c>
    </row>
    <row r="116" spans="1:5" x14ac:dyDescent="0.2">
      <c r="B116" t="s">
        <v>45</v>
      </c>
      <c r="C116" s="3" t="s">
        <v>1064</v>
      </c>
    </row>
    <row r="117" spans="1:5" x14ac:dyDescent="0.2">
      <c r="C117" s="3"/>
    </row>
    <row r="118" spans="1:5" x14ac:dyDescent="0.2">
      <c r="A118" s="17" t="s">
        <v>1067</v>
      </c>
      <c r="B118" s="17"/>
      <c r="C118" s="17"/>
    </row>
    <row r="119" spans="1:5" x14ac:dyDescent="0.2">
      <c r="B119" s="33" t="s">
        <v>668</v>
      </c>
    </row>
    <row r="120" spans="1:5" x14ac:dyDescent="0.2">
      <c r="B120" t="s">
        <v>45</v>
      </c>
      <c r="C120" s="3" t="s">
        <v>1065</v>
      </c>
    </row>
    <row r="121" spans="1:5" x14ac:dyDescent="0.2">
      <c r="C121" s="3"/>
    </row>
    <row r="122" spans="1:5" x14ac:dyDescent="0.2">
      <c r="A122" s="17" t="s">
        <v>1066</v>
      </c>
      <c r="B122" s="17"/>
      <c r="C122" s="17"/>
    </row>
    <row r="123" spans="1:5" x14ac:dyDescent="0.2">
      <c r="B123" s="33" t="s">
        <v>669</v>
      </c>
    </row>
    <row r="124" spans="1:5" x14ac:dyDescent="0.2">
      <c r="B124" t="s">
        <v>45</v>
      </c>
      <c r="C124" s="3" t="s">
        <v>1069</v>
      </c>
    </row>
    <row r="125" spans="1:5" x14ac:dyDescent="0.2">
      <c r="C125" s="3"/>
    </row>
    <row r="126" spans="1:5" x14ac:dyDescent="0.2">
      <c r="A126" s="17" t="s">
        <v>413</v>
      </c>
      <c r="B126" s="9"/>
      <c r="C126" s="9"/>
    </row>
    <row r="127" spans="1:5" x14ac:dyDescent="0.2">
      <c r="A127" s="39"/>
      <c r="B127" s="40" t="s">
        <v>414</v>
      </c>
      <c r="C127" s="15"/>
      <c r="D127" s="15"/>
      <c r="E127" s="2"/>
    </row>
    <row r="128" spans="1:5" x14ac:dyDescent="0.2">
      <c r="B128" t="s">
        <v>45</v>
      </c>
      <c r="C128" s="3" t="s">
        <v>415</v>
      </c>
    </row>
    <row r="129" spans="1:6" s="28" customFormat="1" ht="13.5" thickBot="1" x14ac:dyDescent="0.25"/>
    <row r="130" spans="1:6" x14ac:dyDescent="0.2">
      <c r="A130" s="50" t="s">
        <v>100</v>
      </c>
      <c r="B130" s="4"/>
      <c r="C130" s="4"/>
      <c r="D130" s="4"/>
      <c r="E130" s="2"/>
      <c r="F130" s="2"/>
    </row>
    <row r="131" spans="1:6" x14ac:dyDescent="0.2">
      <c r="C131" s="3"/>
    </row>
    <row r="132" spans="1:6" x14ac:dyDescent="0.2">
      <c r="B132" t="s">
        <v>101</v>
      </c>
      <c r="C132" s="3"/>
    </row>
    <row r="133" spans="1:6" x14ac:dyDescent="0.2">
      <c r="C133" s="3" t="s">
        <v>102</v>
      </c>
    </row>
    <row r="134" spans="1:6" x14ac:dyDescent="0.2">
      <c r="C134" s="3" t="s">
        <v>103</v>
      </c>
    </row>
    <row r="135" spans="1:6" x14ac:dyDescent="0.2">
      <c r="C135" s="3" t="s">
        <v>751</v>
      </c>
    </row>
    <row r="136" spans="1:6" x14ac:dyDescent="0.2">
      <c r="C136" s="3" t="s">
        <v>104</v>
      </c>
    </row>
    <row r="137" spans="1:6" x14ac:dyDescent="0.2">
      <c r="C137" s="3" t="s">
        <v>799</v>
      </c>
    </row>
    <row r="138" spans="1:6" x14ac:dyDescent="0.2">
      <c r="C138" s="3" t="s">
        <v>800</v>
      </c>
    </row>
    <row r="139" spans="1:6" x14ac:dyDescent="0.2">
      <c r="C139" s="3" t="s">
        <v>105</v>
      </c>
    </row>
    <row r="140" spans="1:6" x14ac:dyDescent="0.2">
      <c r="C140" s="3" t="s">
        <v>106</v>
      </c>
    </row>
    <row r="141" spans="1:6" x14ac:dyDescent="0.2">
      <c r="C141" s="3" t="s">
        <v>107</v>
      </c>
    </row>
    <row r="142" spans="1:6" x14ac:dyDescent="0.2">
      <c r="C142" s="3" t="s">
        <v>108</v>
      </c>
    </row>
    <row r="143" spans="1:6" x14ac:dyDescent="0.2">
      <c r="C143" s="3" t="s">
        <v>109</v>
      </c>
    </row>
    <row r="144" spans="1:6" x14ac:dyDescent="0.2">
      <c r="B144" t="s">
        <v>110</v>
      </c>
      <c r="C144" s="3"/>
    </row>
    <row r="145" spans="1:6" x14ac:dyDescent="0.2">
      <c r="C145" s="3"/>
    </row>
    <row r="146" spans="1:6" x14ac:dyDescent="0.2">
      <c r="B146" t="s">
        <v>111</v>
      </c>
      <c r="C146" s="3"/>
    </row>
    <row r="147" spans="1:6" x14ac:dyDescent="0.2">
      <c r="C147" t="s">
        <v>112</v>
      </c>
    </row>
    <row r="148" spans="1:6" x14ac:dyDescent="0.2">
      <c r="C148" t="s">
        <v>113</v>
      </c>
    </row>
    <row r="149" spans="1:6" x14ac:dyDescent="0.2">
      <c r="C149" t="s">
        <v>114</v>
      </c>
    </row>
    <row r="150" spans="1:6" s="45" customFormat="1" x14ac:dyDescent="0.2">
      <c r="C150" s="45" t="s">
        <v>115</v>
      </c>
    </row>
    <row r="151" spans="1:6" s="45" customFormat="1" x14ac:dyDescent="0.2"/>
    <row r="152" spans="1:6" s="45" customFormat="1" x14ac:dyDescent="0.2">
      <c r="B152" s="45" t="s">
        <v>424</v>
      </c>
    </row>
    <row r="153" spans="1:6" s="45" customFormat="1" x14ac:dyDescent="0.2">
      <c r="C153" s="66" t="s">
        <v>425</v>
      </c>
    </row>
    <row r="154" spans="1:6" s="45" customFormat="1" x14ac:dyDescent="0.2">
      <c r="C154" s="66" t="s">
        <v>426</v>
      </c>
    </row>
    <row r="155" spans="1:6" s="45" customFormat="1" x14ac:dyDescent="0.2">
      <c r="C155" s="45" t="s">
        <v>427</v>
      </c>
    </row>
    <row r="156" spans="1:6" s="45" customFormat="1" x14ac:dyDescent="0.2">
      <c r="C156" s="45" t="s">
        <v>428</v>
      </c>
    </row>
    <row r="157" spans="1:6" s="28" customFormat="1" ht="13.5" thickBot="1" x14ac:dyDescent="0.25"/>
    <row r="158" spans="1:6" x14ac:dyDescent="0.2">
      <c r="A158" s="50" t="s">
        <v>116</v>
      </c>
      <c r="B158" s="4"/>
      <c r="C158" s="4"/>
      <c r="D158" s="4"/>
      <c r="E158" s="4"/>
      <c r="F158" s="4"/>
    </row>
    <row r="159" spans="1:6" x14ac:dyDescent="0.2">
      <c r="A159" s="33"/>
    </row>
    <row r="160" spans="1:6" x14ac:dyDescent="0.2">
      <c r="B160" t="s">
        <v>117</v>
      </c>
    </row>
    <row r="161" spans="2:4" x14ac:dyDescent="0.2">
      <c r="B161" t="s">
        <v>118</v>
      </c>
    </row>
    <row r="162" spans="2:4" x14ac:dyDescent="0.2">
      <c r="B162" t="s">
        <v>119</v>
      </c>
    </row>
    <row r="164" spans="2:4" x14ac:dyDescent="0.2">
      <c r="B164" t="s">
        <v>120</v>
      </c>
    </row>
    <row r="165" spans="2:4" x14ac:dyDescent="0.2">
      <c r="C165" s="3" t="s">
        <v>121</v>
      </c>
    </row>
    <row r="166" spans="2:4" x14ac:dyDescent="0.2">
      <c r="C166" s="3" t="s">
        <v>122</v>
      </c>
    </row>
    <row r="167" spans="2:4" x14ac:dyDescent="0.2">
      <c r="D167" t="s">
        <v>123</v>
      </c>
    </row>
    <row r="168" spans="2:4" x14ac:dyDescent="0.2">
      <c r="C168" s="3" t="s">
        <v>807</v>
      </c>
    </row>
    <row r="169" spans="2:4" x14ac:dyDescent="0.2">
      <c r="C169" s="3" t="s">
        <v>124</v>
      </c>
    </row>
    <row r="170" spans="2:4" x14ac:dyDescent="0.2">
      <c r="C170" s="3" t="s">
        <v>133</v>
      </c>
    </row>
    <row r="171" spans="2:4" x14ac:dyDescent="0.2">
      <c r="C171" s="3" t="s">
        <v>137</v>
      </c>
    </row>
    <row r="172" spans="2:4" x14ac:dyDescent="0.2">
      <c r="C172" s="3" t="s">
        <v>138</v>
      </c>
    </row>
    <row r="173" spans="2:4" x14ac:dyDescent="0.2">
      <c r="D173" t="s">
        <v>139</v>
      </c>
    </row>
    <row r="174" spans="2:4" x14ac:dyDescent="0.2">
      <c r="C174" s="3" t="s">
        <v>801</v>
      </c>
    </row>
    <row r="175" spans="2:4" x14ac:dyDescent="0.2">
      <c r="C175" s="3"/>
      <c r="D175" t="s">
        <v>802</v>
      </c>
    </row>
    <row r="176" spans="2:4" x14ac:dyDescent="0.2">
      <c r="D176" t="s">
        <v>140</v>
      </c>
    </row>
    <row r="177" spans="1:10" x14ac:dyDescent="0.2">
      <c r="C177" s="3" t="s">
        <v>141</v>
      </c>
    </row>
    <row r="178" spans="1:10" x14ac:dyDescent="0.2">
      <c r="C178" s="3"/>
      <c r="D178" t="s">
        <v>142</v>
      </c>
    </row>
    <row r="179" spans="1:10" x14ac:dyDescent="0.2">
      <c r="C179" s="3"/>
      <c r="D179" t="s">
        <v>803</v>
      </c>
    </row>
    <row r="180" spans="1:10" x14ac:dyDescent="0.2">
      <c r="C180" s="3" t="s">
        <v>804</v>
      </c>
    </row>
    <row r="181" spans="1:10" x14ac:dyDescent="0.2">
      <c r="D181" t="s">
        <v>805</v>
      </c>
    </row>
    <row r="182" spans="1:10" s="28" customFormat="1" ht="13.5" thickBot="1" x14ac:dyDescent="0.25"/>
    <row r="183" spans="1:10" x14ac:dyDescent="0.2">
      <c r="A183" s="50" t="s">
        <v>143</v>
      </c>
      <c r="B183" s="50"/>
      <c r="C183" s="50"/>
      <c r="D183" s="50"/>
      <c r="E183" s="50"/>
      <c r="F183" s="50"/>
      <c r="G183" s="50"/>
      <c r="H183" s="40"/>
      <c r="I183" s="40"/>
      <c r="J183" s="40"/>
    </row>
    <row r="185" spans="1:10" x14ac:dyDescent="0.2">
      <c r="B185" t="s">
        <v>144</v>
      </c>
    </row>
    <row r="187" spans="1:10" x14ac:dyDescent="0.2">
      <c r="B187" t="s">
        <v>173</v>
      </c>
    </row>
    <row r="188" spans="1:10" x14ac:dyDescent="0.2">
      <c r="C188" s="3" t="s">
        <v>806</v>
      </c>
    </row>
    <row r="189" spans="1:10" x14ac:dyDescent="0.2">
      <c r="C189" s="3" t="s">
        <v>744</v>
      </c>
    </row>
    <row r="190" spans="1:10" x14ac:dyDescent="0.2">
      <c r="C190" s="3" t="s">
        <v>745</v>
      </c>
    </row>
    <row r="191" spans="1:10" x14ac:dyDescent="0.2">
      <c r="C191" s="3" t="s">
        <v>746</v>
      </c>
    </row>
    <row r="192" spans="1:10" x14ac:dyDescent="0.2">
      <c r="C192" s="3" t="s">
        <v>747</v>
      </c>
    </row>
    <row r="193" spans="3:3" x14ac:dyDescent="0.2">
      <c r="C193" s="3" t="s">
        <v>748</v>
      </c>
    </row>
    <row r="194" spans="3:3" x14ac:dyDescent="0.2">
      <c r="C194" s="3" t="s">
        <v>749</v>
      </c>
    </row>
    <row r="195" spans="3:3" s="28" customFormat="1" ht="13.5" thickBot="1" x14ac:dyDescent="0.25"/>
  </sheetData>
  <sheetProtection password="E795" sheet="1" objects="1" scenarios="1"/>
  <mergeCells count="3">
    <mergeCell ref="A1:C2"/>
    <mergeCell ref="D1:H1"/>
    <mergeCell ref="D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7"/>
  <sheetViews>
    <sheetView workbookViewId="0">
      <selection activeCell="A2" sqref="A2"/>
    </sheetView>
  </sheetViews>
  <sheetFormatPr defaultRowHeight="12.75" x14ac:dyDescent="0.2"/>
  <cols>
    <col min="13" max="18" width="0" hidden="1" customWidth="1"/>
  </cols>
  <sheetData>
    <row r="1" spans="1:8" x14ac:dyDescent="0.2">
      <c r="A1" s="14" t="s">
        <v>835</v>
      </c>
      <c r="B1" s="14"/>
      <c r="C1" s="5"/>
      <c r="D1" s="5"/>
      <c r="E1" s="5"/>
      <c r="F1" s="5"/>
      <c r="G1" s="5"/>
      <c r="H1" s="5"/>
    </row>
    <row r="3" spans="1:8" x14ac:dyDescent="0.2">
      <c r="A3" s="33" t="s">
        <v>51</v>
      </c>
    </row>
    <row r="4" spans="1:8" x14ac:dyDescent="0.2">
      <c r="B4" t="s">
        <v>1189</v>
      </c>
    </row>
    <row r="5" spans="1:8" x14ac:dyDescent="0.2">
      <c r="B5" t="s">
        <v>52</v>
      </c>
    </row>
    <row r="7" spans="1:8" x14ac:dyDescent="0.2">
      <c r="A7" t="s">
        <v>220</v>
      </c>
    </row>
    <row r="9" spans="1:8" x14ac:dyDescent="0.2">
      <c r="A9" t="s">
        <v>84</v>
      </c>
      <c r="B9" s="57"/>
    </row>
    <row r="10" spans="1:8" x14ac:dyDescent="0.2">
      <c r="B10" s="57"/>
    </row>
    <row r="11" spans="1:8" x14ac:dyDescent="0.2">
      <c r="A11" t="s">
        <v>221</v>
      </c>
      <c r="B11" s="57"/>
    </row>
    <row r="12" spans="1:8" s="28" customFormat="1" ht="13.5" thickBot="1" x14ac:dyDescent="0.25"/>
    <row r="13" spans="1:8" s="27" customFormat="1" x14ac:dyDescent="0.2">
      <c r="A13" s="8" t="s">
        <v>544</v>
      </c>
      <c r="B13" s="8"/>
      <c r="C13" s="8"/>
      <c r="D13" s="8"/>
      <c r="E13" s="8"/>
      <c r="F13" s="8"/>
    </row>
    <row r="14" spans="1:8" x14ac:dyDescent="0.2">
      <c r="A14" s="15"/>
      <c r="B14" s="15"/>
      <c r="C14" s="15"/>
      <c r="D14" s="15"/>
      <c r="E14" s="15"/>
      <c r="F14" s="15"/>
      <c r="G14" s="2"/>
      <c r="H14" s="2"/>
    </row>
    <row r="15" spans="1:8" x14ac:dyDescent="0.2">
      <c r="A15" s="82" t="s">
        <v>53</v>
      </c>
      <c r="B15" s="11"/>
      <c r="C15" s="11"/>
      <c r="D15" s="11"/>
      <c r="E15" s="11"/>
      <c r="F15" s="11"/>
    </row>
    <row r="17" spans="1:26" x14ac:dyDescent="0.2">
      <c r="A17" t="s">
        <v>1203</v>
      </c>
    </row>
    <row r="18" spans="1:26" x14ac:dyDescent="0.2">
      <c r="B18" t="s">
        <v>54</v>
      </c>
    </row>
    <row r="20" spans="1:26" x14ac:dyDescent="0.2">
      <c r="A20" t="s">
        <v>1204</v>
      </c>
    </row>
    <row r="22" spans="1:26" x14ac:dyDescent="0.2">
      <c r="A22" t="s">
        <v>1198</v>
      </c>
    </row>
    <row r="23" spans="1:26" x14ac:dyDescent="0.2">
      <c r="B23" t="s">
        <v>695</v>
      </c>
    </row>
    <row r="25" spans="1:26" x14ac:dyDescent="0.2">
      <c r="A25" s="82" t="s">
        <v>1195</v>
      </c>
      <c r="B25" s="11"/>
      <c r="C25" s="11"/>
      <c r="D25" s="11"/>
      <c r="E25" s="70">
        <v>1</v>
      </c>
      <c r="F25" s="26" t="str">
        <f>IF(AND(E25&lt;&gt;1,E25&lt;&gt;2),T("SELECT 1 OR 2!"),T(""))</f>
        <v/>
      </c>
      <c r="L25" s="59"/>
      <c r="S25" s="77"/>
      <c r="T25" s="1"/>
      <c r="U25" s="1"/>
    </row>
    <row r="26" spans="1:26" x14ac:dyDescent="0.2">
      <c r="O26" s="19" t="s">
        <v>937</v>
      </c>
      <c r="P26" s="19" t="s">
        <v>938</v>
      </c>
      <c r="Q26" s="19" t="s">
        <v>939</v>
      </c>
      <c r="R26" s="19" t="s">
        <v>940</v>
      </c>
      <c r="S26" s="1"/>
      <c r="T26" s="1"/>
      <c r="U26" s="1"/>
      <c r="V26" s="34"/>
      <c r="W26" s="1"/>
      <c r="X26" s="34"/>
      <c r="Y26" s="34"/>
      <c r="Z26" s="1"/>
    </row>
    <row r="27" spans="1:26" x14ac:dyDescent="0.2">
      <c r="A27" s="55" t="s">
        <v>1193</v>
      </c>
      <c r="B27" s="11" t="s">
        <v>57</v>
      </c>
      <c r="C27" s="11"/>
      <c r="D27" s="11"/>
      <c r="E27" s="11"/>
      <c r="F27" s="11"/>
      <c r="G27" s="11"/>
      <c r="H27" s="11"/>
      <c r="I27" s="67" t="s">
        <v>152</v>
      </c>
      <c r="N27" s="1" t="s">
        <v>936</v>
      </c>
      <c r="O27" s="19">
        <f>VALUE(MID(I27,1,O28-1))</f>
        <v>0</v>
      </c>
      <c r="P27" s="19">
        <f>VALUE(MID(I27,O28+1,P28-O28-1))</f>
        <v>0</v>
      </c>
      <c r="Q27" s="19">
        <f>VALUE(MID(I27,P28+1,Q28-P28-1))</f>
        <v>0</v>
      </c>
      <c r="R27" s="19">
        <f>VALUE(MID(I27,Q28+1,R28-Q28))</f>
        <v>1</v>
      </c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42"/>
      <c r="C28" t="s">
        <v>175</v>
      </c>
      <c r="I28" s="2"/>
      <c r="O28" s="1">
        <f>SEARCH(" ",I27,1)</f>
        <v>2</v>
      </c>
      <c r="P28" s="1">
        <f>SEARCH(" ",I27,O28+1)</f>
        <v>4</v>
      </c>
      <c r="Q28" s="1">
        <f>SEARCH(" ",I27,P28+1)</f>
        <v>6</v>
      </c>
      <c r="R28" s="1">
        <f>LEN(I27)</f>
        <v>7</v>
      </c>
      <c r="S28" s="19"/>
      <c r="T28" s="2"/>
      <c r="U28" s="2"/>
      <c r="V28" s="2"/>
      <c r="W28" s="2"/>
      <c r="X28" s="2"/>
      <c r="Y28" s="2"/>
      <c r="Z28" s="2"/>
    </row>
    <row r="29" spans="1:26" x14ac:dyDescent="0.2">
      <c r="A29" s="42"/>
      <c r="B29" t="s">
        <v>540</v>
      </c>
      <c r="C29" t="s">
        <v>1192</v>
      </c>
      <c r="I29" s="2"/>
      <c r="O29" s="1"/>
      <c r="P29" s="1"/>
      <c r="Q29" s="1"/>
      <c r="R29" s="1"/>
      <c r="S29" s="19"/>
      <c r="T29" s="2"/>
      <c r="U29" s="2"/>
      <c r="V29" s="2"/>
      <c r="W29" s="2"/>
      <c r="X29" s="2"/>
      <c r="Y29" s="2"/>
      <c r="Z29" s="2"/>
    </row>
    <row r="30" spans="1:26" x14ac:dyDescent="0.2">
      <c r="A30" s="42"/>
      <c r="C30" t="s">
        <v>677</v>
      </c>
      <c r="I30" s="2"/>
      <c r="O30" s="1"/>
      <c r="P30" s="1"/>
      <c r="Q30" s="1"/>
      <c r="R30" s="1"/>
      <c r="S30" s="19"/>
      <c r="T30" s="2"/>
      <c r="U30" s="2"/>
      <c r="V30" s="2"/>
      <c r="W30" s="2"/>
      <c r="X30" s="2"/>
      <c r="Y30" s="2"/>
      <c r="Z30" s="2"/>
    </row>
    <row r="31" spans="1:26" x14ac:dyDescent="0.2">
      <c r="A31" s="42"/>
      <c r="C31" t="s">
        <v>678</v>
      </c>
      <c r="I31" s="2"/>
      <c r="O31" s="1"/>
      <c r="P31" s="1"/>
      <c r="Q31" s="1"/>
      <c r="R31" s="1"/>
      <c r="S31" s="19"/>
      <c r="T31" s="2"/>
      <c r="U31" s="2"/>
      <c r="V31" s="2"/>
      <c r="W31" s="2"/>
      <c r="X31" s="2"/>
      <c r="Y31" s="2"/>
      <c r="Z31" s="2"/>
    </row>
    <row r="32" spans="1:26" x14ac:dyDescent="0.2">
      <c r="A32" s="42"/>
      <c r="I32" s="2"/>
      <c r="O32" s="1"/>
      <c r="P32" s="1"/>
      <c r="Q32" s="1"/>
      <c r="R32" s="1"/>
      <c r="S32" s="19"/>
      <c r="T32" s="2"/>
      <c r="U32" s="2"/>
      <c r="V32" s="2"/>
      <c r="W32" s="2"/>
      <c r="X32" s="2"/>
      <c r="Y32" s="2"/>
      <c r="Z32" s="2"/>
    </row>
    <row r="33" spans="1:26" x14ac:dyDescent="0.2">
      <c r="A33" s="55" t="s">
        <v>1194</v>
      </c>
      <c r="B33" s="11" t="s">
        <v>696</v>
      </c>
      <c r="C33" s="11"/>
      <c r="D33" s="11"/>
      <c r="E33" s="11"/>
      <c r="F33" s="11"/>
      <c r="G33" s="11"/>
      <c r="H33" s="11"/>
      <c r="I33" s="11"/>
      <c r="J33" s="11"/>
      <c r="K33" s="11"/>
      <c r="L33" s="10"/>
      <c r="S33" s="19"/>
      <c r="T33" s="19"/>
      <c r="U33" s="19"/>
      <c r="V33" s="21"/>
      <c r="W33" s="2"/>
      <c r="X33" s="2"/>
      <c r="Y33" s="2"/>
      <c r="Z33" s="2"/>
    </row>
    <row r="34" spans="1:26" x14ac:dyDescent="0.2">
      <c r="A34" s="26"/>
      <c r="C34" s="26"/>
      <c r="D34" s="26"/>
      <c r="E34" s="26"/>
      <c r="F34" s="26"/>
      <c r="G34" s="26"/>
      <c r="H34" s="26"/>
      <c r="I34" s="26"/>
      <c r="J34" s="26"/>
      <c r="K34" s="26"/>
      <c r="L34" s="107"/>
      <c r="N34" s="1"/>
      <c r="O34" s="1"/>
      <c r="P34" s="1"/>
      <c r="Q34" s="1"/>
      <c r="R34" s="1"/>
      <c r="S34" s="77"/>
      <c r="T34" s="19"/>
      <c r="U34" s="19"/>
      <c r="V34" s="21"/>
      <c r="W34" s="2"/>
      <c r="X34" s="2"/>
      <c r="Y34" s="2"/>
      <c r="Z34" s="2"/>
    </row>
    <row r="35" spans="1:26" hidden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N35" s="1" t="s">
        <v>941</v>
      </c>
      <c r="O35" s="1" t="s">
        <v>940</v>
      </c>
      <c r="P35" s="1" t="s">
        <v>938</v>
      </c>
      <c r="Q35" s="1" t="s">
        <v>937</v>
      </c>
      <c r="R35" s="1" t="s">
        <v>939</v>
      </c>
      <c r="S35" s="19"/>
      <c r="T35" s="19"/>
      <c r="U35" s="19"/>
      <c r="V35" s="21"/>
      <c r="W35" s="2"/>
      <c r="X35" s="2"/>
      <c r="Y35" s="2"/>
      <c r="Z35" s="2"/>
    </row>
    <row r="36" spans="1:26" hidden="1" x14ac:dyDescent="0.2">
      <c r="A36" s="26"/>
      <c r="D36" s="1" t="s">
        <v>940</v>
      </c>
      <c r="E36" s="1" t="s">
        <v>938</v>
      </c>
      <c r="F36" s="1" t="s">
        <v>937</v>
      </c>
      <c r="G36" s="1" t="s">
        <v>939</v>
      </c>
      <c r="O36" s="19">
        <f>R27</f>
        <v>1</v>
      </c>
      <c r="P36" s="19">
        <f>P27</f>
        <v>0</v>
      </c>
      <c r="Q36" s="19">
        <f>O27</f>
        <v>0</v>
      </c>
      <c r="R36" s="19">
        <f>Q27</f>
        <v>0</v>
      </c>
      <c r="S36" s="19"/>
      <c r="T36" s="19"/>
      <c r="U36" s="19"/>
      <c r="V36" s="21"/>
      <c r="W36" s="2"/>
      <c r="X36" s="2"/>
      <c r="Y36" s="2"/>
      <c r="Z36" s="2"/>
    </row>
    <row r="37" spans="1:26" hidden="1" x14ac:dyDescent="0.2">
      <c r="B37" s="1" t="s">
        <v>551</v>
      </c>
      <c r="D37" s="1">
        <f>'Turn about OBJECT axes'!H143</f>
        <v>6.124639640933683E-17</v>
      </c>
      <c r="E37" s="1">
        <f>'Turn about OBJECT axes'!I143</f>
        <v>1.1626046262855349E-18</v>
      </c>
      <c r="F37" s="1">
        <f>'Turn about OBJECT axes'!J143</f>
        <v>-1.8979004457047338E-2</v>
      </c>
      <c r="G37" s="1">
        <f>'Turn about OBJECT axes'!K143</f>
        <v>0.99982023479872872</v>
      </c>
      <c r="H37" s="19" t="s">
        <v>36</v>
      </c>
      <c r="I37" s="19" t="s">
        <v>37</v>
      </c>
      <c r="J37" s="19" t="s">
        <v>38</v>
      </c>
      <c r="K37" s="19" t="s">
        <v>882</v>
      </c>
      <c r="L37" s="19" t="s">
        <v>881</v>
      </c>
      <c r="M37" s="19" t="s">
        <v>499</v>
      </c>
      <c r="N37" s="19"/>
    </row>
    <row r="38" spans="1:26" hidden="1" x14ac:dyDescent="0.2">
      <c r="B38" s="1" t="s">
        <v>552</v>
      </c>
      <c r="C38" s="1"/>
      <c r="D38" s="1">
        <f>IF(E25=1,O36,D37)</f>
        <v>1</v>
      </c>
      <c r="E38" s="1">
        <f>IF(E25=1,P36,E37)</f>
        <v>0</v>
      </c>
      <c r="F38" s="1">
        <f>IF(E25=1,Q36,F37)</f>
        <v>0</v>
      </c>
      <c r="G38" s="1">
        <f>IF(E25=1,R36,G37)</f>
        <v>0</v>
      </c>
      <c r="H38" s="19">
        <f>-2*D38*E38+2*F38*G38</f>
        <v>0</v>
      </c>
      <c r="I38" s="19">
        <f>2*D38*F38+2*E38*G38</f>
        <v>0</v>
      </c>
      <c r="J38" s="19">
        <f>D38*D38-E38*E38-F38*F38+G38*G38</f>
        <v>1</v>
      </c>
      <c r="K38" s="19">
        <f>IF(ABS(I38)&lt;0.99999,ATAN(I38/SQRT(H38*H38+J38*J38)),SIGN(I38)*1000)</f>
        <v>0</v>
      </c>
      <c r="L38" s="19">
        <f>IF(ABS(I38)&lt;0.99999,180/PI()*ATAN(I38/SQRT(H38*H38+J38*J38)),SIGN(I38)*90)</f>
        <v>0</v>
      </c>
      <c r="M38" s="19">
        <f>IF(ABS(H38)&gt;0.00001,IF(H38&gt;0,90-180/PI()*ATAN(J38/H38),-90-180/PI()*ATAN(J38/H38)),-90+SIGN(J38)*90)</f>
        <v>0</v>
      </c>
      <c r="N38" s="19"/>
    </row>
    <row r="39" spans="1:26" hidden="1" x14ac:dyDescent="0.2">
      <c r="B39" s="1" t="s">
        <v>848</v>
      </c>
      <c r="C39" s="1"/>
      <c r="D39" s="1">
        <f>F38</f>
        <v>0</v>
      </c>
      <c r="E39" s="1">
        <f>E38</f>
        <v>0</v>
      </c>
      <c r="F39" s="1">
        <f>G38</f>
        <v>0</v>
      </c>
      <c r="G39" s="1">
        <f>D38</f>
        <v>1</v>
      </c>
      <c r="H39" s="19"/>
      <c r="I39" s="19"/>
      <c r="J39" s="19"/>
      <c r="K39" s="19"/>
      <c r="L39" s="19"/>
      <c r="M39" s="19"/>
      <c r="N39" s="19"/>
    </row>
    <row r="40" spans="1:26" hidden="1" x14ac:dyDescent="0.2">
      <c r="B40" s="1" t="s">
        <v>19</v>
      </c>
      <c r="C40" s="1"/>
      <c r="D40" s="19" t="str">
        <f>CONCATENATE(TEXT(D39,"0.000000")," ",TEXT(E39,"0.000000")," ",TEXT(F39,"0.000000")," ",TEXT(G39,"0.000000"))</f>
        <v>0.000000 0.000000 0.000000 1.000000</v>
      </c>
      <c r="E40" s="1"/>
      <c r="F40" s="1"/>
      <c r="G40" s="1"/>
      <c r="H40" s="19"/>
      <c r="I40" s="19"/>
      <c r="J40" s="19"/>
      <c r="K40" s="19"/>
      <c r="L40" s="19"/>
      <c r="M40" s="19"/>
      <c r="N40" s="19"/>
    </row>
    <row r="41" spans="1:26" hidden="1" x14ac:dyDescent="0.2">
      <c r="C41" s="1"/>
      <c r="D41" s="19"/>
      <c r="E41" s="1"/>
      <c r="F41" s="1"/>
      <c r="G41" s="1"/>
      <c r="H41" s="19"/>
      <c r="I41" s="19"/>
      <c r="J41" s="19"/>
      <c r="K41" s="19"/>
      <c r="M41" s="19"/>
      <c r="N41" s="19"/>
    </row>
    <row r="42" spans="1:26" x14ac:dyDescent="0.2">
      <c r="A42" s="82" t="s">
        <v>417</v>
      </c>
      <c r="B42" s="11"/>
      <c r="C42" s="11"/>
      <c r="D42" s="86"/>
      <c r="E42" s="86"/>
      <c r="F42" s="86"/>
      <c r="G42" s="86"/>
      <c r="H42" s="86"/>
      <c r="I42" s="19"/>
      <c r="J42" s="19"/>
      <c r="K42" s="19"/>
      <c r="L42" s="77"/>
      <c r="M42" s="19"/>
      <c r="N42" s="19"/>
      <c r="S42" s="77"/>
    </row>
    <row r="43" spans="1:26" x14ac:dyDescent="0.2">
      <c r="B43" s="1"/>
      <c r="C43" s="1"/>
      <c r="D43" s="19"/>
      <c r="E43" s="1"/>
      <c r="F43" s="1"/>
      <c r="G43" s="1"/>
      <c r="H43" s="19"/>
      <c r="I43" s="19"/>
      <c r="J43" s="19"/>
      <c r="K43" s="19"/>
      <c r="L43" s="19"/>
      <c r="M43" s="19"/>
      <c r="N43" s="19"/>
    </row>
    <row r="44" spans="1:26" x14ac:dyDescent="0.2">
      <c r="A44" t="s">
        <v>62</v>
      </c>
      <c r="B44" s="1"/>
      <c r="C44" s="1"/>
      <c r="D44" s="19"/>
      <c r="E44" s="1"/>
      <c r="F44" s="1"/>
      <c r="G44" s="1"/>
      <c r="H44" s="19"/>
      <c r="I44" s="19"/>
      <c r="J44" s="19"/>
      <c r="K44" s="19"/>
      <c r="L44" s="19"/>
      <c r="M44" s="19"/>
      <c r="N44" s="19"/>
    </row>
    <row r="45" spans="1:26" x14ac:dyDescent="0.2">
      <c r="B45" s="41" t="s">
        <v>60</v>
      </c>
      <c r="C45" s="1"/>
      <c r="D45" s="19"/>
      <c r="E45" s="1"/>
      <c r="F45" s="1"/>
      <c r="G45" s="1"/>
      <c r="H45" s="19"/>
      <c r="I45" s="19"/>
      <c r="J45" s="19"/>
      <c r="K45" s="19"/>
      <c r="L45" s="19"/>
      <c r="M45" s="19"/>
      <c r="N45" s="19"/>
    </row>
    <row r="46" spans="1:26" x14ac:dyDescent="0.2">
      <c r="B46" s="13" t="s">
        <v>85</v>
      </c>
      <c r="C46" s="1"/>
      <c r="D46" s="19"/>
      <c r="E46" s="1"/>
      <c r="F46" s="1"/>
      <c r="G46" s="1"/>
      <c r="H46" s="19"/>
      <c r="I46" s="19"/>
      <c r="J46" s="19"/>
      <c r="K46" s="19"/>
      <c r="L46" s="19"/>
      <c r="M46" s="19"/>
      <c r="N46" s="19"/>
    </row>
    <row r="47" spans="1:26" x14ac:dyDescent="0.2">
      <c r="B47" s="13"/>
      <c r="C47" s="1"/>
      <c r="D47" s="19"/>
      <c r="E47" s="1"/>
      <c r="F47" s="1"/>
      <c r="G47" s="1"/>
      <c r="H47" s="19"/>
      <c r="I47" s="19"/>
      <c r="J47" s="19"/>
      <c r="K47" s="19"/>
      <c r="L47" s="19"/>
      <c r="M47" s="19"/>
      <c r="N47" s="19"/>
    </row>
    <row r="48" spans="1:26" x14ac:dyDescent="0.2">
      <c r="A48" t="s">
        <v>1185</v>
      </c>
      <c r="B48" s="41"/>
      <c r="C48" s="1"/>
      <c r="D48" s="19"/>
      <c r="E48" s="1"/>
      <c r="F48" s="1"/>
      <c r="G48" s="1"/>
      <c r="H48" s="19"/>
      <c r="I48" s="19"/>
      <c r="J48" s="19"/>
      <c r="K48" s="19"/>
      <c r="L48" s="19"/>
      <c r="M48" s="19"/>
      <c r="N48" s="19"/>
    </row>
    <row r="49" spans="1:14" x14ac:dyDescent="0.2">
      <c r="B49" s="41" t="s">
        <v>1187</v>
      </c>
      <c r="C49" s="1"/>
      <c r="D49" s="19"/>
      <c r="E49" s="1"/>
      <c r="F49" s="1"/>
      <c r="G49" s="1"/>
      <c r="H49" s="19"/>
      <c r="I49" s="19"/>
      <c r="J49" s="19"/>
      <c r="K49" s="19"/>
      <c r="L49" s="19"/>
      <c r="M49" s="19"/>
      <c r="N49" s="19"/>
    </row>
    <row r="50" spans="1:14" x14ac:dyDescent="0.2">
      <c r="B50" s="82" t="s">
        <v>78</v>
      </c>
      <c r="C50" s="11"/>
      <c r="D50" s="11"/>
      <c r="E50" s="11"/>
      <c r="F50" s="11"/>
      <c r="G50" s="11"/>
      <c r="H50" s="11"/>
      <c r="I50" s="11"/>
      <c r="J50" s="19"/>
      <c r="K50" s="19"/>
      <c r="L50" s="19"/>
      <c r="M50" s="19"/>
      <c r="N50" s="19"/>
    </row>
    <row r="52" spans="1:14" x14ac:dyDescent="0.2">
      <c r="B52" s="102" t="s">
        <v>69</v>
      </c>
      <c r="C52" s="101"/>
      <c r="D52" s="106"/>
      <c r="E52" s="141">
        <v>10</v>
      </c>
      <c r="F52" s="102" t="s">
        <v>1076</v>
      </c>
      <c r="G52" s="103" t="s">
        <v>71</v>
      </c>
      <c r="H52" s="104"/>
      <c r="I52" s="105"/>
      <c r="J52" s="142">
        <f>ABS(E52)/180*PI()</f>
        <v>0.17453292519943295</v>
      </c>
      <c r="K52" s="103" t="s">
        <v>61</v>
      </c>
      <c r="L52" s="19"/>
      <c r="M52" s="19"/>
      <c r="N52" s="19"/>
    </row>
    <row r="53" spans="1:14" x14ac:dyDescent="0.2">
      <c r="B53" s="13" t="s">
        <v>1186</v>
      </c>
    </row>
    <row r="54" spans="1:14" x14ac:dyDescent="0.2">
      <c r="B54" s="102" t="s">
        <v>70</v>
      </c>
      <c r="C54" s="101"/>
      <c r="D54" s="106"/>
      <c r="E54" s="141">
        <v>-0.17499999999999999</v>
      </c>
      <c r="F54" s="102" t="s">
        <v>61</v>
      </c>
      <c r="G54" s="103" t="s">
        <v>72</v>
      </c>
      <c r="H54" s="104"/>
      <c r="I54" s="105"/>
      <c r="J54" s="142">
        <f>ABS(E54)*180/PI()</f>
        <v>10.026761414789405</v>
      </c>
      <c r="K54" s="105" t="s">
        <v>1076</v>
      </c>
      <c r="L54" s="19"/>
      <c r="M54" s="19"/>
      <c r="N54" s="19"/>
    </row>
    <row r="55" spans="1:14" x14ac:dyDescent="0.2">
      <c r="B55" s="40" t="s">
        <v>460</v>
      </c>
      <c r="C55" s="1"/>
      <c r="D55" s="19"/>
      <c r="E55" s="1"/>
      <c r="F55" s="1"/>
      <c r="G55" s="1"/>
      <c r="H55" s="19"/>
      <c r="I55" s="19"/>
      <c r="J55" s="19"/>
      <c r="K55" s="19"/>
      <c r="L55" s="19"/>
      <c r="M55" s="19"/>
      <c r="N55" s="19"/>
    </row>
    <row r="56" spans="1:14" x14ac:dyDescent="0.2">
      <c r="C56" s="1"/>
      <c r="D56" s="19"/>
      <c r="E56" s="1"/>
      <c r="F56" s="1"/>
      <c r="G56" s="1"/>
      <c r="H56" s="19"/>
      <c r="I56" s="19"/>
      <c r="J56" s="19"/>
      <c r="K56" s="19"/>
      <c r="L56" s="19"/>
      <c r="M56" s="19"/>
      <c r="N56" s="19"/>
    </row>
    <row r="57" spans="1:14" x14ac:dyDescent="0.2">
      <c r="A57" t="s">
        <v>87</v>
      </c>
      <c r="C57" s="1"/>
      <c r="D57" s="19"/>
      <c r="E57" s="1"/>
      <c r="F57" s="1"/>
      <c r="G57" s="1"/>
      <c r="H57" s="19"/>
      <c r="I57" s="19"/>
      <c r="J57" s="19"/>
      <c r="K57" s="19"/>
      <c r="L57" s="19"/>
      <c r="M57" s="19"/>
      <c r="N57" s="19"/>
    </row>
    <row r="58" spans="1:14" x14ac:dyDescent="0.2">
      <c r="B58" s="82" t="s">
        <v>86</v>
      </c>
      <c r="C58" s="11"/>
      <c r="D58" s="11"/>
      <c r="E58" s="11"/>
      <c r="F58" s="11"/>
      <c r="G58" s="11"/>
      <c r="H58" s="11"/>
      <c r="I58" s="11"/>
      <c r="J58" s="11"/>
      <c r="K58" s="19"/>
      <c r="L58" s="19"/>
      <c r="M58" s="19"/>
      <c r="N58" s="19"/>
    </row>
    <row r="59" spans="1:14" x14ac:dyDescent="0.2">
      <c r="C59" s="1"/>
      <c r="D59" s="19"/>
      <c r="E59" s="1"/>
      <c r="F59" s="1"/>
      <c r="G59" s="1"/>
      <c r="H59" s="19"/>
      <c r="I59" s="19"/>
      <c r="J59" s="19"/>
      <c r="K59" s="19"/>
      <c r="L59" s="19"/>
      <c r="M59" s="19"/>
      <c r="N59" s="19"/>
    </row>
    <row r="60" spans="1:14" x14ac:dyDescent="0.2">
      <c r="B60" t="s">
        <v>67</v>
      </c>
      <c r="C60" s="1"/>
      <c r="D60" s="19"/>
      <c r="E60" s="1"/>
      <c r="F60" s="1"/>
      <c r="G60" s="1"/>
      <c r="H60" s="19"/>
      <c r="I60" s="19"/>
      <c r="J60" s="19"/>
      <c r="K60" s="19"/>
      <c r="L60" s="19"/>
      <c r="M60" s="19"/>
      <c r="N60" s="19"/>
    </row>
    <row r="61" spans="1:14" x14ac:dyDescent="0.2">
      <c r="B61" s="102" t="s">
        <v>73</v>
      </c>
      <c r="C61" s="102"/>
      <c r="D61" s="102"/>
      <c r="E61" s="141">
        <v>20</v>
      </c>
      <c r="F61" s="102" t="s">
        <v>576</v>
      </c>
      <c r="G61" s="103" t="s">
        <v>64</v>
      </c>
      <c r="H61" s="103"/>
      <c r="I61" s="103"/>
      <c r="J61" s="142">
        <f>0.5*E61/(SIN(0.5*E62/180*PI()))</f>
        <v>229.25585626053348</v>
      </c>
      <c r="K61" s="103" t="s">
        <v>576</v>
      </c>
      <c r="L61" s="19"/>
      <c r="M61" s="19"/>
      <c r="N61" s="19"/>
    </row>
    <row r="62" spans="1:14" x14ac:dyDescent="0.2">
      <c r="B62" s="102" t="s">
        <v>65</v>
      </c>
      <c r="C62" s="102"/>
      <c r="D62" s="102"/>
      <c r="E62" s="141">
        <v>5</v>
      </c>
      <c r="F62" s="102" t="s">
        <v>1076</v>
      </c>
      <c r="G62" s="103" t="s">
        <v>63</v>
      </c>
      <c r="H62" s="103"/>
      <c r="I62" s="103"/>
      <c r="J62" s="142">
        <f>ABS(E62)</f>
        <v>5</v>
      </c>
      <c r="K62" s="103" t="s">
        <v>1076</v>
      </c>
      <c r="L62" s="19"/>
      <c r="M62" s="19"/>
      <c r="N62" s="19"/>
    </row>
    <row r="63" spans="1:14" x14ac:dyDescent="0.2">
      <c r="C63" s="1"/>
      <c r="D63" s="19"/>
      <c r="E63" s="1"/>
      <c r="F63" s="1"/>
      <c r="G63" s="1"/>
      <c r="H63" s="19"/>
      <c r="I63" s="19"/>
      <c r="J63" s="19"/>
      <c r="K63" s="19"/>
      <c r="L63" s="19"/>
      <c r="M63" s="19"/>
      <c r="N63" s="19"/>
    </row>
    <row r="64" spans="1:14" x14ac:dyDescent="0.2">
      <c r="B64" t="s">
        <v>68</v>
      </c>
      <c r="C64" s="1"/>
      <c r="D64" s="19"/>
      <c r="E64" s="1"/>
      <c r="F64" s="1"/>
      <c r="G64" s="1"/>
      <c r="H64" s="19"/>
      <c r="I64" s="19"/>
      <c r="J64" s="19"/>
      <c r="K64" s="19"/>
      <c r="L64" s="19"/>
      <c r="M64" s="19"/>
      <c r="N64" s="19"/>
    </row>
    <row r="65" spans="1:19" x14ac:dyDescent="0.2">
      <c r="B65" s="102" t="s">
        <v>74</v>
      </c>
      <c r="C65" s="102"/>
      <c r="D65" s="102"/>
      <c r="E65" s="141">
        <v>100</v>
      </c>
      <c r="F65" s="102" t="s">
        <v>66</v>
      </c>
      <c r="G65" s="103" t="s">
        <v>64</v>
      </c>
      <c r="H65" s="103"/>
      <c r="I65" s="103"/>
      <c r="J65" s="142">
        <f>0.5*E65*0.3048/(SIN(0.5*ABS(E66)/180*PI()))</f>
        <v>349.38592494105302</v>
      </c>
      <c r="K65" s="103" t="s">
        <v>576</v>
      </c>
      <c r="L65" s="19"/>
      <c r="M65" s="19"/>
      <c r="N65" s="19"/>
    </row>
    <row r="66" spans="1:19" x14ac:dyDescent="0.2">
      <c r="B66" s="102" t="s">
        <v>65</v>
      </c>
      <c r="C66" s="102"/>
      <c r="D66" s="102"/>
      <c r="E66" s="141">
        <v>5</v>
      </c>
      <c r="F66" s="102" t="s">
        <v>1076</v>
      </c>
      <c r="G66" s="103" t="s">
        <v>63</v>
      </c>
      <c r="H66" s="103"/>
      <c r="I66" s="103"/>
      <c r="J66" s="142">
        <f>ABS(E66)</f>
        <v>5</v>
      </c>
      <c r="K66" s="103" t="s">
        <v>1076</v>
      </c>
      <c r="L66" s="19"/>
      <c r="M66" s="19"/>
      <c r="N66" s="19"/>
    </row>
    <row r="67" spans="1:19" x14ac:dyDescent="0.2">
      <c r="B67" s="40" t="s">
        <v>461</v>
      </c>
      <c r="C67" s="1"/>
      <c r="D67" s="19"/>
      <c r="E67" s="1"/>
      <c r="F67" s="1"/>
      <c r="G67" s="1"/>
      <c r="H67" s="19"/>
      <c r="I67" s="19"/>
      <c r="J67" s="19"/>
      <c r="K67" s="19"/>
      <c r="L67" s="19"/>
      <c r="M67" s="19"/>
      <c r="N67" s="19"/>
    </row>
    <row r="68" spans="1:19" x14ac:dyDescent="0.2">
      <c r="C68" s="1"/>
      <c r="D68" s="19"/>
      <c r="E68" s="1"/>
      <c r="F68" s="1"/>
      <c r="G68" s="1"/>
      <c r="H68" s="19"/>
      <c r="I68" s="19"/>
      <c r="J68" s="19"/>
      <c r="K68" s="19"/>
      <c r="L68" s="19"/>
      <c r="M68" s="19"/>
      <c r="N68" s="19"/>
    </row>
    <row r="69" spans="1:19" x14ac:dyDescent="0.2">
      <c r="A69" s="82" t="s">
        <v>80</v>
      </c>
      <c r="B69" s="11"/>
      <c r="C69" s="11"/>
      <c r="D69" s="10"/>
      <c r="E69" s="70">
        <v>500</v>
      </c>
      <c r="F69" t="s">
        <v>1202</v>
      </c>
      <c r="G69" s="1"/>
      <c r="H69" s="19"/>
      <c r="I69" s="19"/>
      <c r="J69" s="19"/>
      <c r="K69" s="19"/>
      <c r="L69" s="19"/>
      <c r="M69" s="19"/>
      <c r="N69" s="19"/>
    </row>
    <row r="70" spans="1:19" x14ac:dyDescent="0.2">
      <c r="A70" s="47"/>
    </row>
    <row r="71" spans="1:19" x14ac:dyDescent="0.2">
      <c r="A71" s="87" t="s">
        <v>79</v>
      </c>
      <c r="B71" s="11"/>
      <c r="C71" s="11"/>
      <c r="D71" s="10"/>
      <c r="E71" s="70">
        <v>10</v>
      </c>
      <c r="F71" t="s">
        <v>46</v>
      </c>
      <c r="H71" s="108" t="s">
        <v>459</v>
      </c>
      <c r="I71" s="142">
        <f>ABS(E71)/180*PI()</f>
        <v>0.17453292519943295</v>
      </c>
      <c r="J71" s="103" t="s">
        <v>61</v>
      </c>
      <c r="L71" s="59"/>
      <c r="S71" s="59"/>
    </row>
    <row r="72" spans="1:19" hidden="1" x14ac:dyDescent="0.2">
      <c r="I72" s="1"/>
      <c r="J72" s="53"/>
      <c r="K72" s="1"/>
      <c r="M72" s="1"/>
      <c r="O72" s="53"/>
      <c r="P72" s="1"/>
    </row>
    <row r="73" spans="1:19" hidden="1" x14ac:dyDescent="0.2">
      <c r="I73" s="1"/>
      <c r="J73" s="53" t="s">
        <v>1221</v>
      </c>
      <c r="K73" s="1" t="s">
        <v>40</v>
      </c>
      <c r="L73" s="1" t="s">
        <v>41</v>
      </c>
      <c r="M73" s="1" t="s">
        <v>42</v>
      </c>
      <c r="O73" s="53" t="s">
        <v>1220</v>
      </c>
      <c r="P73" s="1" t="s">
        <v>207</v>
      </c>
    </row>
    <row r="74" spans="1:19" hidden="1" x14ac:dyDescent="0.2">
      <c r="J74" s="1">
        <f>SQRT(K74^2+L74^2+M74^2)</f>
        <v>87.155742747658167</v>
      </c>
      <c r="K74" s="1">
        <f>M77*H38</f>
        <v>0</v>
      </c>
      <c r="L74" s="1">
        <f>M77*I38</f>
        <v>0</v>
      </c>
      <c r="M74" s="1">
        <f>M77*J38</f>
        <v>87.155742747658167</v>
      </c>
      <c r="N74" s="20" t="s">
        <v>34</v>
      </c>
      <c r="O74" s="1">
        <f>COS(0.5*PI()/180*L76)</f>
        <v>0.99619469809174555</v>
      </c>
      <c r="P74" s="1">
        <f>COS(PI()/180*L76)</f>
        <v>0.98480775301220802</v>
      </c>
    </row>
    <row r="75" spans="1:19" hidden="1" x14ac:dyDescent="0.2">
      <c r="D75" s="1" t="s">
        <v>1208</v>
      </c>
      <c r="E75" s="1" t="s">
        <v>1209</v>
      </c>
      <c r="F75" s="1" t="s">
        <v>1210</v>
      </c>
      <c r="G75" s="1" t="s">
        <v>1211</v>
      </c>
      <c r="H75" s="1" t="s">
        <v>47</v>
      </c>
      <c r="I75" s="1"/>
      <c r="J75" s="41"/>
      <c r="L75" s="1" t="s">
        <v>48</v>
      </c>
      <c r="M75" s="57"/>
      <c r="N75" s="20" t="s">
        <v>35</v>
      </c>
      <c r="O75" s="1">
        <f>SIN(0.5*PI()/180*L76)</f>
        <v>8.7155742747658166E-2</v>
      </c>
      <c r="P75" s="1">
        <f>SIN(PI()/180*L76)</f>
        <v>0.17364817766693033</v>
      </c>
    </row>
    <row r="76" spans="1:19" hidden="1" x14ac:dyDescent="0.2">
      <c r="C76" s="1" t="s">
        <v>950</v>
      </c>
      <c r="D76" s="1">
        <f>O74</f>
        <v>0.99619469809174555</v>
      </c>
      <c r="E76" s="1">
        <f>O75</f>
        <v>8.7155742747658166E-2</v>
      </c>
      <c r="F76" s="1">
        <v>0</v>
      </c>
      <c r="G76" s="1">
        <v>0</v>
      </c>
      <c r="H76" s="1">
        <f>2*180/PI()*ATAN(G74*0.5*COS(K38)/E69)</f>
        <v>0</v>
      </c>
      <c r="I76" s="1"/>
      <c r="J76" s="1"/>
      <c r="K76" s="1"/>
      <c r="L76" s="1">
        <f>E71</f>
        <v>10</v>
      </c>
    </row>
    <row r="77" spans="1:19" hidden="1" x14ac:dyDescent="0.2">
      <c r="C77" s="1" t="s">
        <v>951</v>
      </c>
      <c r="D77" s="1">
        <f>O74</f>
        <v>0.99619469809174555</v>
      </c>
      <c r="E77" s="1">
        <f>-O75</f>
        <v>-8.7155742747658166E-2</v>
      </c>
      <c r="F77" s="1">
        <v>0</v>
      </c>
      <c r="G77" s="1">
        <v>0</v>
      </c>
      <c r="H77" s="1" t="s">
        <v>49</v>
      </c>
      <c r="I77" s="1"/>
      <c r="J77" s="1">
        <f>2*E69*SIN(0.5*PI()/180*E71)*COS(PI()/180*K38)</f>
        <v>87.155742747658167</v>
      </c>
      <c r="K77" s="1" t="s">
        <v>50</v>
      </c>
      <c r="L77" s="1"/>
      <c r="M77" s="1">
        <f>J77</f>
        <v>87.155742747658167</v>
      </c>
    </row>
    <row r="78" spans="1:19" x14ac:dyDescent="0.2">
      <c r="H78" s="1"/>
      <c r="I78" s="1"/>
      <c r="J78" s="1"/>
      <c r="L78" s="59"/>
      <c r="S78" s="59"/>
    </row>
    <row r="79" spans="1:19" x14ac:dyDescent="0.2">
      <c r="A79" s="82" t="s">
        <v>1237</v>
      </c>
      <c r="B79" s="11"/>
      <c r="C79" s="11"/>
      <c r="D79" s="11"/>
    </row>
    <row r="81" spans="1:8" x14ac:dyDescent="0.2">
      <c r="A81" t="s">
        <v>81</v>
      </c>
    </row>
    <row r="82" spans="1:8" x14ac:dyDescent="0.2">
      <c r="B82" t="s">
        <v>555</v>
      </c>
    </row>
    <row r="83" spans="1:8" x14ac:dyDescent="0.2">
      <c r="B83" t="s">
        <v>740</v>
      </c>
    </row>
    <row r="85" spans="1:8" x14ac:dyDescent="0.2">
      <c r="B85" s="82" t="s">
        <v>557</v>
      </c>
      <c r="C85" s="11"/>
      <c r="D85" s="70">
        <v>-12925</v>
      </c>
      <c r="F85" s="82" t="s">
        <v>556</v>
      </c>
      <c r="G85" s="11"/>
      <c r="H85" s="70">
        <v>14196</v>
      </c>
    </row>
    <row r="87" spans="1:8" x14ac:dyDescent="0.2">
      <c r="A87" s="82" t="s">
        <v>418</v>
      </c>
      <c r="B87" s="11"/>
      <c r="C87" s="11"/>
      <c r="D87" s="11"/>
      <c r="E87" s="11"/>
      <c r="F87" s="11"/>
      <c r="G87" s="11"/>
    </row>
    <row r="89" spans="1:8" x14ac:dyDescent="0.2">
      <c r="A89" t="s">
        <v>679</v>
      </c>
    </row>
    <row r="90" spans="1:8" x14ac:dyDescent="0.2">
      <c r="B90" t="s">
        <v>20</v>
      </c>
    </row>
    <row r="91" spans="1:8" x14ac:dyDescent="0.2">
      <c r="B91" t="s">
        <v>21</v>
      </c>
    </row>
    <row r="92" spans="1:8" x14ac:dyDescent="0.2">
      <c r="B92" t="s">
        <v>25</v>
      </c>
    </row>
    <row r="94" spans="1:8" x14ac:dyDescent="0.2">
      <c r="A94" t="s">
        <v>589</v>
      </c>
    </row>
    <row r="95" spans="1:8" x14ac:dyDescent="0.2">
      <c r="B95" t="s">
        <v>676</v>
      </c>
    </row>
    <row r="97" spans="1:19" x14ac:dyDescent="0.2">
      <c r="A97" s="82" t="s">
        <v>1195</v>
      </c>
      <c r="B97" s="11"/>
      <c r="C97" s="11"/>
      <c r="D97" s="11"/>
      <c r="E97" s="70">
        <v>1</v>
      </c>
      <c r="F97" s="26" t="str">
        <f>IF(AND(E97&lt;&gt;1,E97&lt;&gt;2),T("SELECT 1 OR 2!"),T(""))</f>
        <v/>
      </c>
    </row>
    <row r="98" spans="1:19" x14ac:dyDescent="0.2">
      <c r="A98" s="47"/>
    </row>
    <row r="99" spans="1:19" x14ac:dyDescent="0.2">
      <c r="A99" s="55" t="s">
        <v>1193</v>
      </c>
      <c r="B99" s="11" t="s">
        <v>55</v>
      </c>
      <c r="C99" s="11"/>
      <c r="D99" s="11"/>
      <c r="E99" s="11"/>
      <c r="F99" s="11"/>
      <c r="G99" s="11"/>
      <c r="H99" s="11"/>
      <c r="I99" s="67" t="s">
        <v>821</v>
      </c>
      <c r="L99" s="19">
        <f>VALUE(MID(I99,1,L100-1))</f>
        <v>-121.199</v>
      </c>
      <c r="M99" s="19">
        <f>VALUE(MID(I99,L100+1,M100-L100-1))</f>
        <v>1</v>
      </c>
      <c r="N99" s="19">
        <f>VALUE(MID(I99,M100+1,N100-M100))</f>
        <v>744.52200000000005</v>
      </c>
    </row>
    <row r="100" spans="1:19" x14ac:dyDescent="0.2">
      <c r="A100" s="42"/>
      <c r="C100" t="s">
        <v>176</v>
      </c>
      <c r="I100" s="2"/>
      <c r="L100" s="1">
        <f>SEARCH(" ",I99,1)</f>
        <v>9</v>
      </c>
      <c r="M100" s="1">
        <f>SEARCH(" ",I99,L100+1)</f>
        <v>11</v>
      </c>
      <c r="N100" s="1">
        <f>LEN(I99)</f>
        <v>18</v>
      </c>
    </row>
    <row r="101" spans="1:19" x14ac:dyDescent="0.2">
      <c r="A101" s="42"/>
      <c r="C101" t="s">
        <v>11</v>
      </c>
      <c r="I101" s="2"/>
    </row>
    <row r="102" spans="1:19" x14ac:dyDescent="0.2">
      <c r="A102" s="55" t="s">
        <v>1194</v>
      </c>
      <c r="B102" s="11" t="s">
        <v>56</v>
      </c>
      <c r="C102" s="11"/>
      <c r="D102" s="11"/>
      <c r="E102" s="11"/>
      <c r="F102" s="11"/>
      <c r="G102" s="11"/>
      <c r="H102" s="11"/>
      <c r="I102" s="67">
        <v>518.92999999999995</v>
      </c>
      <c r="J102" s="70">
        <v>16.260000000000002</v>
      </c>
      <c r="K102" s="70">
        <v>-82.87</v>
      </c>
    </row>
    <row r="103" spans="1:19" x14ac:dyDescent="0.2">
      <c r="A103" s="26"/>
      <c r="B103" s="59"/>
      <c r="I103" s="19" t="s">
        <v>36</v>
      </c>
      <c r="J103" s="19" t="s">
        <v>37</v>
      </c>
      <c r="K103" s="19" t="s">
        <v>38</v>
      </c>
    </row>
    <row r="104" spans="1:19" hidden="1" x14ac:dyDescent="0.2">
      <c r="G104" s="1" t="s">
        <v>552</v>
      </c>
      <c r="H104" s="1"/>
      <c r="I104" s="1">
        <f>IF(E97=1,L99,I102)</f>
        <v>-121.199</v>
      </c>
      <c r="J104" s="1">
        <f>IF(E97=1,M99,J102)</f>
        <v>1</v>
      </c>
      <c r="K104" s="1">
        <f>IF(E97=1,N99,K102)</f>
        <v>744.52200000000005</v>
      </c>
    </row>
    <row r="105" spans="1:19" x14ac:dyDescent="0.2">
      <c r="B105" s="59"/>
      <c r="G105" s="1"/>
      <c r="H105" s="1"/>
      <c r="I105" s="1"/>
      <c r="J105" s="1"/>
      <c r="K105" s="1"/>
    </row>
    <row r="106" spans="1:19" x14ac:dyDescent="0.2">
      <c r="A106" t="s">
        <v>89</v>
      </c>
      <c r="G106" s="1"/>
      <c r="H106" s="1"/>
      <c r="I106" s="1"/>
      <c r="J106" s="1"/>
      <c r="K106" s="1"/>
    </row>
    <row r="107" spans="1:19" x14ac:dyDescent="0.2">
      <c r="G107" s="1"/>
      <c r="H107" s="1"/>
      <c r="I107" s="1"/>
      <c r="J107" s="1"/>
      <c r="K107" s="1"/>
    </row>
    <row r="108" spans="1:19" x14ac:dyDescent="0.2">
      <c r="A108" t="s">
        <v>211</v>
      </c>
      <c r="G108" s="1"/>
      <c r="H108" s="1"/>
      <c r="I108" s="1"/>
      <c r="J108" s="1"/>
      <c r="K108" s="1"/>
    </row>
    <row r="109" spans="1:19" x14ac:dyDescent="0.2">
      <c r="B109" t="s">
        <v>82</v>
      </c>
      <c r="G109" s="1"/>
      <c r="H109" s="1"/>
      <c r="I109" s="1"/>
      <c r="J109" s="1"/>
      <c r="K109" s="1"/>
    </row>
    <row r="110" spans="1:19" s="28" customFormat="1" ht="13.5" thickBot="1" x14ac:dyDescent="0.25">
      <c r="G110" s="30"/>
      <c r="H110" s="30"/>
      <c r="I110" s="30"/>
      <c r="J110" s="30"/>
      <c r="K110" s="30"/>
    </row>
    <row r="111" spans="1:19" s="100" customFormat="1" x14ac:dyDescent="0.2">
      <c r="A111" s="99" t="s">
        <v>13</v>
      </c>
    </row>
    <row r="112" spans="1:19" x14ac:dyDescent="0.2">
      <c r="L112" s="59"/>
      <c r="S112" s="77"/>
    </row>
    <row r="113" spans="1:19" hidden="1" x14ac:dyDescent="0.2">
      <c r="A113" s="54"/>
      <c r="K113" s="1" t="s">
        <v>40</v>
      </c>
      <c r="L113" s="1" t="s">
        <v>41</v>
      </c>
      <c r="M113" s="1" t="s">
        <v>42</v>
      </c>
    </row>
    <row r="114" spans="1:19" hidden="1" x14ac:dyDescent="0.2">
      <c r="A114" s="54"/>
      <c r="J114" s="1" t="s">
        <v>945</v>
      </c>
      <c r="K114" s="1">
        <v>0</v>
      </c>
      <c r="L114" s="1">
        <v>0</v>
      </c>
      <c r="M114" s="1">
        <v>0</v>
      </c>
    </row>
    <row r="115" spans="1:19" hidden="1" x14ac:dyDescent="0.2">
      <c r="A115" s="54"/>
      <c r="J115" s="1" t="s">
        <v>947</v>
      </c>
      <c r="K115" s="1">
        <f>K74</f>
        <v>0</v>
      </c>
      <c r="L115" s="1">
        <f>L74</f>
        <v>0</v>
      </c>
      <c r="M115" s="1">
        <f>M74</f>
        <v>87.155742747658167</v>
      </c>
    </row>
    <row r="116" spans="1:19" hidden="1" x14ac:dyDescent="0.2">
      <c r="A116" s="54"/>
      <c r="J116" s="1" t="s">
        <v>948</v>
      </c>
      <c r="K116" s="1">
        <f>O74*K115+O75*M115</f>
        <v>7.596123493895969</v>
      </c>
      <c r="L116" s="1">
        <f>L115</f>
        <v>0</v>
      </c>
      <c r="M116" s="1">
        <f>-O75*K115+O74*M115</f>
        <v>86.824088833465169</v>
      </c>
      <c r="N116" s="1" t="s">
        <v>1312</v>
      </c>
    </row>
    <row r="117" spans="1:19" hidden="1" x14ac:dyDescent="0.2">
      <c r="A117" s="56"/>
      <c r="G117" s="1"/>
      <c r="H117" s="1" t="s">
        <v>31</v>
      </c>
      <c r="J117" s="1"/>
      <c r="K117" s="1" t="s">
        <v>14</v>
      </c>
      <c r="L117" s="1" t="s">
        <v>15</v>
      </c>
      <c r="M117" s="1" t="s">
        <v>16</v>
      </c>
      <c r="N117" s="1" t="s">
        <v>17</v>
      </c>
      <c r="O117" s="1" t="s">
        <v>18</v>
      </c>
    </row>
    <row r="118" spans="1:19" hidden="1" x14ac:dyDescent="0.2">
      <c r="G118" s="1"/>
      <c r="H118" s="1">
        <f>K38</f>
        <v>0</v>
      </c>
      <c r="J118" s="1" t="s">
        <v>945</v>
      </c>
      <c r="K118" s="1">
        <f>IF(ABS(I104+K114)&lt;=1024,I104+K114,IF(I104+K114&gt;1024,I104+K114-2048,I104+K114+2048))</f>
        <v>-121.199</v>
      </c>
      <c r="L118" s="1">
        <f>J104+L114</f>
        <v>1</v>
      </c>
      <c r="M118" s="1">
        <f>IF(ABS(K104+M114)&lt;=1024,K104+M114,IF(K104+M114&gt;1024,K104+M114-2048,K104+M114+2048))</f>
        <v>744.52200000000005</v>
      </c>
      <c r="N118" s="1">
        <f>IF(ABS(I104+K114)&lt;=1024,D85,IF(I104+K114&gt;1024,D85+1,D85-1))</f>
        <v>-12925</v>
      </c>
      <c r="O118" s="1">
        <f>IF(ABS(K104+M114)&lt;=1024,H85,IF(K104+M114&gt;1024,H85+1,H85-1))</f>
        <v>14196</v>
      </c>
    </row>
    <row r="119" spans="1:19" hidden="1" x14ac:dyDescent="0.2">
      <c r="J119" s="1" t="s">
        <v>946</v>
      </c>
      <c r="K119" s="1">
        <f>IF(ABS(I104+K116)&lt;=1024,I104+K116,IF(I104+K116&gt;1024,I104+K116-2048,I104+K116+2048))</f>
        <v>-113.60287650610402</v>
      </c>
      <c r="L119" s="1">
        <f>J104+L116</f>
        <v>1</v>
      </c>
      <c r="M119" s="1">
        <f>IF(ABS(K104+M116)&lt;=1024,K104+M116,IF(K104+M116&gt;1024,K104+M116-2048,K104+M116+2048))</f>
        <v>831.34608883346527</v>
      </c>
      <c r="N119" s="1">
        <f>IF(ABS(I104+K116)&lt;=1024,D85,IF(I104+K116&gt;1024,D85+1,D85-1))</f>
        <v>-12925</v>
      </c>
      <c r="O119" s="1">
        <f>IF(ABS(K104+M116)&lt;=1024,H85,IF(K104+M116&gt;1024,H85+1,H85-1))</f>
        <v>14196</v>
      </c>
      <c r="P119" s="1"/>
      <c r="Q119" s="1"/>
    </row>
    <row r="120" spans="1:19" hidden="1" x14ac:dyDescent="0.2">
      <c r="D120" s="1" t="s">
        <v>1214</v>
      </c>
      <c r="E120" s="1" t="s">
        <v>1215</v>
      </c>
      <c r="F120" s="1" t="s">
        <v>1216</v>
      </c>
      <c r="G120" s="1" t="s">
        <v>1217</v>
      </c>
      <c r="J120" s="41"/>
      <c r="K120" s="1"/>
      <c r="L120" s="1"/>
      <c r="M120" s="1"/>
      <c r="N120" s="1"/>
      <c r="O120" s="1"/>
      <c r="P120" s="1"/>
      <c r="Q120" s="1"/>
    </row>
    <row r="121" spans="1:19" hidden="1" x14ac:dyDescent="0.2">
      <c r="B121" s="1" t="s">
        <v>946</v>
      </c>
      <c r="C121" s="19" t="s">
        <v>1212</v>
      </c>
      <c r="D121" s="19">
        <f>D38</f>
        <v>1</v>
      </c>
      <c r="E121" s="19">
        <f>E38</f>
        <v>0</v>
      </c>
      <c r="F121" s="19">
        <f>F38</f>
        <v>0</v>
      </c>
      <c r="G121" s="19">
        <f>G38</f>
        <v>0</v>
      </c>
      <c r="H121" s="19"/>
    </row>
    <row r="122" spans="1:19" hidden="1" x14ac:dyDescent="0.2">
      <c r="C122" s="19" t="s">
        <v>952</v>
      </c>
      <c r="D122" s="19">
        <f>D77</f>
        <v>0.99619469809174555</v>
      </c>
      <c r="E122" s="19">
        <f>E77</f>
        <v>-8.7155742747658166E-2</v>
      </c>
      <c r="F122" s="19">
        <f>F77</f>
        <v>0</v>
      </c>
      <c r="G122" s="19">
        <f>G77</f>
        <v>0</v>
      </c>
      <c r="H122" s="19"/>
      <c r="I122" s="1"/>
      <c r="J122" s="1"/>
      <c r="K122" s="1"/>
      <c r="L122" s="1"/>
      <c r="M122" s="1"/>
      <c r="N122" s="1"/>
      <c r="O122" s="1"/>
      <c r="P122" s="1"/>
      <c r="Q122" s="1"/>
    </row>
    <row r="123" spans="1:19" hidden="1" x14ac:dyDescent="0.2">
      <c r="C123" s="19" t="s">
        <v>614</v>
      </c>
      <c r="D123" s="19">
        <f>D122*D121-E122*E121-F122*F121-G122*G121</f>
        <v>0.99619469809174555</v>
      </c>
      <c r="E123" s="19">
        <f>D122*E121+E122*D121+F122*G121-G122*F121</f>
        <v>-8.7155742747658166E-2</v>
      </c>
      <c r="F123" s="19">
        <f>D122*F121-E122*G121+F122*D121+G122*E121</f>
        <v>0</v>
      </c>
      <c r="G123" s="19">
        <f>D122*G121+E122*F121-F122*E121+G122*D121</f>
        <v>0</v>
      </c>
      <c r="H123" s="19"/>
      <c r="I123" s="1"/>
      <c r="J123" s="1"/>
      <c r="K123" s="1"/>
      <c r="L123" s="1"/>
      <c r="M123" s="1"/>
      <c r="N123" s="1"/>
      <c r="O123" s="1"/>
      <c r="P123" s="1"/>
      <c r="Q123" s="1"/>
    </row>
    <row r="124" spans="1:19" hidden="1" x14ac:dyDescent="0.2">
      <c r="C124" s="19" t="s">
        <v>848</v>
      </c>
      <c r="D124" s="19">
        <f>F123</f>
        <v>0</v>
      </c>
      <c r="E124" s="19">
        <f>E123</f>
        <v>-8.7155742747658166E-2</v>
      </c>
      <c r="F124" s="19">
        <f>G123</f>
        <v>0</v>
      </c>
      <c r="G124" s="19">
        <f>D123</f>
        <v>0.99619469809174555</v>
      </c>
      <c r="H124" s="19"/>
      <c r="I124" s="19"/>
      <c r="J124" s="19"/>
      <c r="K124" s="19"/>
      <c r="L124" s="19"/>
      <c r="M124" s="1" t="s">
        <v>1188</v>
      </c>
      <c r="N124" s="1" t="str">
        <f>CONCATENATE(TEXT(-F124,"0.000000")," ",TEXT(-G124,"0.000000")," ",TEXT(D124,"0.000000")," ",TEXT(E124,"0.000000"))</f>
        <v>0.000000 -0.996195 0.000000 -0.087156</v>
      </c>
      <c r="O124" s="1"/>
      <c r="P124" s="1"/>
      <c r="Q124" s="1"/>
    </row>
    <row r="125" spans="1:19" x14ac:dyDescent="0.2">
      <c r="A125" s="25" t="s">
        <v>963</v>
      </c>
      <c r="H125" s="1"/>
      <c r="K125" s="1"/>
      <c r="L125" s="77"/>
      <c r="M125" s="1"/>
      <c r="N125" s="1"/>
      <c r="O125" s="1"/>
      <c r="P125" s="1"/>
      <c r="Q125" s="1"/>
      <c r="S125" s="77"/>
    </row>
    <row r="126" spans="1:19" x14ac:dyDescent="0.2">
      <c r="A126" s="54"/>
      <c r="H126" s="1"/>
      <c r="I126" s="26" t="str">
        <f>T(IF(ABS(I128-D85)+ABS(K128-H85)&lt;&gt;0,"WARNING:  TILE CHANGE -&gt; other world tile file!",""))</f>
        <v/>
      </c>
      <c r="J126" s="1"/>
      <c r="K126" s="1"/>
      <c r="L126" s="1"/>
      <c r="M126" s="1"/>
      <c r="N126" s="1"/>
      <c r="O126" s="1"/>
      <c r="P126" s="1"/>
      <c r="Q126" s="1"/>
    </row>
    <row r="127" spans="1:19" ht="13.5" thickBot="1" x14ac:dyDescent="0.25">
      <c r="B127" s="33" t="s">
        <v>416</v>
      </c>
      <c r="H127" s="1"/>
      <c r="I127" s="26"/>
      <c r="J127" s="1"/>
      <c r="K127" s="1"/>
      <c r="L127" s="1"/>
      <c r="M127" s="1"/>
      <c r="N127" s="1"/>
      <c r="O127" s="1"/>
      <c r="P127" s="1"/>
      <c r="Q127" s="1"/>
    </row>
    <row r="128" spans="1:19" x14ac:dyDescent="0.2">
      <c r="A128" s="109" t="s">
        <v>962</v>
      </c>
      <c r="B128" s="110" t="s">
        <v>28</v>
      </c>
      <c r="C128" s="143">
        <f>N118</f>
        <v>-12925</v>
      </c>
      <c r="D128" s="110" t="s">
        <v>27</v>
      </c>
      <c r="E128" s="143">
        <f>O118</f>
        <v>14196</v>
      </c>
      <c r="F128" s="111"/>
      <c r="G128" s="128" t="s">
        <v>953</v>
      </c>
      <c r="H128" s="118" t="s">
        <v>28</v>
      </c>
      <c r="I128" s="143">
        <f>N119</f>
        <v>-12925</v>
      </c>
      <c r="J128" s="118" t="s">
        <v>27</v>
      </c>
      <c r="K128" s="143">
        <f>O119</f>
        <v>14196</v>
      </c>
      <c r="L128" s="119"/>
    </row>
    <row r="129" spans="1:19" x14ac:dyDescent="0.2">
      <c r="A129" s="112"/>
      <c r="B129" s="114" t="s">
        <v>29</v>
      </c>
      <c r="C129" s="144">
        <f>H118</f>
        <v>0</v>
      </c>
      <c r="D129" s="61"/>
      <c r="E129" s="61"/>
      <c r="F129" s="113"/>
      <c r="G129" s="120"/>
      <c r="H129" s="121" t="s">
        <v>29</v>
      </c>
      <c r="I129" s="144">
        <f>-H118</f>
        <v>0</v>
      </c>
      <c r="J129" s="122"/>
      <c r="K129" s="122"/>
      <c r="L129" s="123"/>
    </row>
    <row r="130" spans="1:19" x14ac:dyDescent="0.2">
      <c r="A130" s="112"/>
      <c r="B130" s="114" t="s">
        <v>26</v>
      </c>
      <c r="C130" s="145" t="str">
        <f>CONCATENATE(TEXT(K118,"0.000")," ",TEXT(L118,"0.000")," ",TEXT(M118,"0.000"))</f>
        <v>-121.199 1.000 744.522</v>
      </c>
      <c r="D130" s="61"/>
      <c r="E130" s="61"/>
      <c r="F130" s="113"/>
      <c r="G130" s="120"/>
      <c r="H130" s="121" t="s">
        <v>26</v>
      </c>
      <c r="I130" s="145" t="str">
        <f>CONCATENATE(TEXT(K119,"0.000")," ",TEXT(L119,"0.000")," ",TEXT(M119,"0.000"))</f>
        <v>-113.603 1.000 831.346</v>
      </c>
      <c r="J130" s="122"/>
      <c r="K130" s="122"/>
      <c r="L130" s="123"/>
    </row>
    <row r="131" spans="1:19" ht="13.5" thickBot="1" x14ac:dyDescent="0.25">
      <c r="A131" s="115"/>
      <c r="B131" s="116" t="s">
        <v>19</v>
      </c>
      <c r="C131" s="146" t="str">
        <f>D40</f>
        <v>0.000000 0.000000 0.000000 1.000000</v>
      </c>
      <c r="D131" s="60"/>
      <c r="E131" s="60"/>
      <c r="F131" s="117"/>
      <c r="G131" s="124"/>
      <c r="H131" s="125" t="s">
        <v>19</v>
      </c>
      <c r="I131" s="147" t="str">
        <f>N124</f>
        <v>0.000000 -0.996195 0.000000 -0.087156</v>
      </c>
      <c r="J131" s="126"/>
      <c r="K131" s="126"/>
      <c r="L131" s="127"/>
    </row>
    <row r="133" spans="1:19" x14ac:dyDescent="0.2">
      <c r="A133" s="82" t="s">
        <v>964</v>
      </c>
      <c r="B133" s="10"/>
      <c r="C133" s="10"/>
      <c r="D133" s="10"/>
      <c r="E133" s="10"/>
      <c r="F133" s="10"/>
      <c r="G133" s="10"/>
      <c r="H133" s="10"/>
      <c r="I133" s="10"/>
    </row>
    <row r="134" spans="1:19" x14ac:dyDescent="0.2">
      <c r="B134" s="45" t="s">
        <v>32</v>
      </c>
    </row>
    <row r="135" spans="1:19" x14ac:dyDescent="0.2">
      <c r="C135" s="12"/>
      <c r="L135" s="59"/>
      <c r="S135" s="77"/>
    </row>
    <row r="136" spans="1:19" hidden="1" x14ac:dyDescent="0.2">
      <c r="D136" s="1" t="s">
        <v>1214</v>
      </c>
      <c r="E136" s="1" t="s">
        <v>1215</v>
      </c>
      <c r="F136" s="1" t="s">
        <v>1216</v>
      </c>
      <c r="G136" s="1" t="s">
        <v>1217</v>
      </c>
      <c r="I136" s="53" t="s">
        <v>1221</v>
      </c>
      <c r="K136" s="1" t="s">
        <v>40</v>
      </c>
      <c r="L136" s="1" t="s">
        <v>41</v>
      </c>
      <c r="M136" s="1" t="s">
        <v>42</v>
      </c>
      <c r="O136" s="53" t="s">
        <v>1220</v>
      </c>
      <c r="P136" s="1" t="s">
        <v>207</v>
      </c>
    </row>
    <row r="137" spans="1:19" hidden="1" x14ac:dyDescent="0.2">
      <c r="B137" s="1" t="s">
        <v>945</v>
      </c>
      <c r="C137" s="19" t="s">
        <v>1212</v>
      </c>
      <c r="D137" s="19">
        <f>D38</f>
        <v>1</v>
      </c>
      <c r="E137" s="19">
        <f>E38</f>
        <v>0</v>
      </c>
      <c r="F137" s="19">
        <f>F38</f>
        <v>0</v>
      </c>
      <c r="G137" s="19">
        <f>G38</f>
        <v>0</v>
      </c>
      <c r="H137" s="19"/>
      <c r="I137" s="19">
        <f>SQRT(K137^2+L137^2+M137^2)</f>
        <v>87.155742747658167</v>
      </c>
      <c r="J137" s="19" t="s">
        <v>961</v>
      </c>
      <c r="K137" s="19">
        <f>K74</f>
        <v>0</v>
      </c>
      <c r="L137" s="19">
        <f>L74</f>
        <v>0</v>
      </c>
      <c r="M137" s="19">
        <f>M74</f>
        <v>87.155742747658167</v>
      </c>
      <c r="N137" s="20" t="s">
        <v>34</v>
      </c>
      <c r="O137" s="1">
        <f>O74</f>
        <v>0.99619469809174555</v>
      </c>
      <c r="P137" s="1">
        <f>P74</f>
        <v>0.98480775301220802</v>
      </c>
    </row>
    <row r="138" spans="1:19" hidden="1" x14ac:dyDescent="0.2">
      <c r="B138" s="1"/>
      <c r="C138" s="19" t="s">
        <v>1213</v>
      </c>
      <c r="D138" s="19">
        <f>D76</f>
        <v>0.99619469809174555</v>
      </c>
      <c r="E138" s="19">
        <f>E76</f>
        <v>8.7155742747658166E-2</v>
      </c>
      <c r="F138" s="19">
        <f>F76</f>
        <v>0</v>
      </c>
      <c r="G138" s="19">
        <f>G76</f>
        <v>0</v>
      </c>
      <c r="H138" s="19"/>
      <c r="I138" s="19">
        <f>SQRT(K138^2+L138^2+M138^2)</f>
        <v>87.155742747658167</v>
      </c>
      <c r="J138" s="19" t="s">
        <v>949</v>
      </c>
      <c r="K138" s="19">
        <f>O137*K137-O138*M137</f>
        <v>-7.596123493895969</v>
      </c>
      <c r="L138" s="19">
        <f>L137</f>
        <v>0</v>
      </c>
      <c r="M138" s="1">
        <f>O138*K137+O137*M137</f>
        <v>86.824088833465169</v>
      </c>
      <c r="N138" s="20" t="s">
        <v>35</v>
      </c>
      <c r="O138" s="1">
        <f>O75</f>
        <v>8.7155742747658166E-2</v>
      </c>
      <c r="P138" s="1">
        <f>P75</f>
        <v>0.17364817766693033</v>
      </c>
    </row>
    <row r="139" spans="1:19" hidden="1" x14ac:dyDescent="0.2">
      <c r="B139" s="1"/>
      <c r="C139" s="19" t="s">
        <v>1218</v>
      </c>
      <c r="D139" s="19">
        <f>D138*D137-E138*E137-F138*F137-G138*G137</f>
        <v>0.99619469809174555</v>
      </c>
      <c r="E139" s="19">
        <f>D138*E137+E138*D137+F138*G137-G138*F137</f>
        <v>8.7155742747658166E-2</v>
      </c>
      <c r="F139" s="19">
        <f>D138*F137-E138*G137+F138*D137+G138*E137</f>
        <v>0</v>
      </c>
      <c r="G139" s="19">
        <f>D138*G137+E138*F137-F138*E137+G138*D137</f>
        <v>0</v>
      </c>
      <c r="H139" s="19"/>
      <c r="I139" s="19"/>
      <c r="J139" s="1" t="s">
        <v>1312</v>
      </c>
      <c r="K139" s="19"/>
      <c r="L139" s="19"/>
    </row>
    <row r="140" spans="1:19" hidden="1" x14ac:dyDescent="0.2">
      <c r="B140" s="1"/>
      <c r="C140" s="19" t="s">
        <v>848</v>
      </c>
      <c r="D140" s="19">
        <f>F139</f>
        <v>0</v>
      </c>
      <c r="E140" s="19">
        <f>E139</f>
        <v>8.7155742747658166E-2</v>
      </c>
      <c r="F140" s="19">
        <f>G139</f>
        <v>0</v>
      </c>
      <c r="G140" s="19">
        <f>D139</f>
        <v>0.99619469809174555</v>
      </c>
      <c r="H140" s="19" t="s">
        <v>878</v>
      </c>
      <c r="I140" s="19" t="str">
        <f>CONCATENATE(TEXT(D140,"0.000000")," ",TEXT(E140,"0.000000")," ",TEXT(F140,"0.000000")," ",TEXT(G140,"0.000000"))</f>
        <v>0.000000 0.087156 0.000000 0.996195</v>
      </c>
      <c r="J140" s="19"/>
      <c r="K140" s="19"/>
      <c r="L140" s="19"/>
      <c r="M140" s="1" t="s">
        <v>1188</v>
      </c>
      <c r="N140" s="1" t="str">
        <f>CONCATENATE(TEXT(-F140,"0.000000")," ",TEXT(-G140,"0.000000")," ",TEXT(D140,"0.000000")," ",TEXT(E140,"0.000000"))</f>
        <v>0.000000 -0.996195 0.000000 0.087156</v>
      </c>
    </row>
    <row r="141" spans="1:19" hidden="1" x14ac:dyDescent="0.2">
      <c r="B141" s="1" t="s">
        <v>946</v>
      </c>
      <c r="C141" s="19" t="s">
        <v>1212</v>
      </c>
      <c r="D141" s="19">
        <f>D123</f>
        <v>0.99619469809174555</v>
      </c>
      <c r="E141" s="19">
        <f>E123</f>
        <v>-8.7155742747658166E-2</v>
      </c>
      <c r="F141" s="19">
        <f>F123</f>
        <v>0</v>
      </c>
      <c r="G141" s="19">
        <f>G123</f>
        <v>0</v>
      </c>
      <c r="H141" s="19"/>
      <c r="I141" s="19">
        <f>SQRT(K141^2+L141^2+M141^2)</f>
        <v>87.155742747658167</v>
      </c>
      <c r="J141" s="19" t="s">
        <v>947</v>
      </c>
      <c r="K141" s="19">
        <f>K116</f>
        <v>7.596123493895969</v>
      </c>
      <c r="L141" s="19">
        <f>L116</f>
        <v>0</v>
      </c>
      <c r="M141" s="19">
        <f>M116</f>
        <v>86.824088833465169</v>
      </c>
      <c r="N141" s="20"/>
      <c r="O141" s="1"/>
    </row>
    <row r="142" spans="1:19" hidden="1" x14ac:dyDescent="0.2">
      <c r="B142" s="1"/>
      <c r="C142" s="19" t="s">
        <v>952</v>
      </c>
      <c r="D142" s="19">
        <f>D77</f>
        <v>0.99619469809174555</v>
      </c>
      <c r="E142" s="19">
        <f>E77</f>
        <v>-8.7155742747658166E-2</v>
      </c>
      <c r="F142" s="19">
        <f>F77</f>
        <v>0</v>
      </c>
      <c r="G142" s="19">
        <f>G77</f>
        <v>0</v>
      </c>
      <c r="H142" s="19"/>
      <c r="I142" s="19">
        <f>SQRT(K142^2+L142^2+M142^2)</f>
        <v>87.155742747658152</v>
      </c>
      <c r="J142" s="19" t="s">
        <v>951</v>
      </c>
      <c r="K142" s="19">
        <f>P137*K141+P138*M141</f>
        <v>22.557566113149832</v>
      </c>
      <c r="L142" s="19">
        <f>L141</f>
        <v>0</v>
      </c>
      <c r="M142" s="1">
        <f>-P138*K141+P137*M141</f>
        <v>84.185982829369181</v>
      </c>
      <c r="N142" s="20"/>
      <c r="O142" s="1"/>
    </row>
    <row r="143" spans="1:19" hidden="1" x14ac:dyDescent="0.2">
      <c r="B143" s="1"/>
      <c r="C143" s="19" t="s">
        <v>1218</v>
      </c>
      <c r="D143" s="19">
        <f>D142*D141-E142*E141-F142*F141-G142*G141</f>
        <v>0.98480775301220813</v>
      </c>
      <c r="E143" s="19">
        <f>D142*E141+E142*D141+F142*G141-G142*F141</f>
        <v>-0.17364817766693033</v>
      </c>
      <c r="F143" s="19">
        <f>D142*F141-E142*G141+F142*D141+G142*E141</f>
        <v>0</v>
      </c>
      <c r="G143" s="19">
        <f>D142*G141+E142*F141-F142*E141+G142*D141</f>
        <v>0</v>
      </c>
      <c r="H143" s="19"/>
      <c r="I143" s="19"/>
      <c r="J143" s="19"/>
      <c r="K143" s="19"/>
      <c r="L143" s="19"/>
    </row>
    <row r="144" spans="1:19" hidden="1" x14ac:dyDescent="0.2">
      <c r="B144" s="1"/>
      <c r="C144" s="19" t="s">
        <v>848</v>
      </c>
      <c r="D144" s="19">
        <f>F143</f>
        <v>0</v>
      </c>
      <c r="E144" s="19">
        <f>E143</f>
        <v>-0.17364817766693033</v>
      </c>
      <c r="F144" s="19">
        <f>G143</f>
        <v>0</v>
      </c>
      <c r="G144" s="19">
        <f>D143</f>
        <v>0.98480775301220813</v>
      </c>
      <c r="H144" s="19" t="s">
        <v>878</v>
      </c>
      <c r="I144" s="19" t="str">
        <f>CONCATENATE(TEXT(D144,"0.000000")," ",TEXT(E144,"0.000000")," ",TEXT(F144,"0.000000")," ",TEXT(G144,"0.000000"))</f>
        <v>0.000000 -0.173648 0.000000 0.984808</v>
      </c>
      <c r="J144" s="19"/>
      <c r="K144" s="19"/>
      <c r="L144" s="19"/>
      <c r="M144" s="1" t="s">
        <v>1188</v>
      </c>
      <c r="N144" s="1" t="str">
        <f>CONCATENATE(TEXT(-F144,"0.000000")," ",TEXT(-G144,"0.000000")," ",TEXT(D144,"0.000000")," ",TEXT(E144,"0.000000"))</f>
        <v>0.000000 -0.984808 0.000000 -0.173648</v>
      </c>
    </row>
    <row r="145" spans="1:19" hidden="1" x14ac:dyDescent="0.2">
      <c r="A145" s="54"/>
      <c r="B145" s="1"/>
      <c r="C145" s="1"/>
      <c r="D145" s="1"/>
      <c r="E145" s="1"/>
      <c r="F145" s="1"/>
      <c r="G145" s="1"/>
      <c r="H145" s="1" t="s">
        <v>31</v>
      </c>
      <c r="I145" s="1"/>
      <c r="J145" s="1"/>
      <c r="K145" s="1" t="s">
        <v>14</v>
      </c>
      <c r="L145" s="1" t="s">
        <v>15</v>
      </c>
      <c r="M145" s="1" t="s">
        <v>16</v>
      </c>
      <c r="N145" s="1" t="s">
        <v>17</v>
      </c>
      <c r="O145" s="1" t="s">
        <v>18</v>
      </c>
    </row>
    <row r="146" spans="1:19" hidden="1" x14ac:dyDescent="0.2">
      <c r="B146" s="1"/>
      <c r="C146" s="1"/>
      <c r="D146" s="1"/>
      <c r="E146" s="1"/>
      <c r="F146" s="1"/>
      <c r="G146" s="1"/>
      <c r="H146" s="1">
        <f>H118</f>
        <v>0</v>
      </c>
      <c r="I146" s="1"/>
      <c r="J146" s="1" t="s">
        <v>945</v>
      </c>
      <c r="K146" s="1">
        <f>IF(ABS(K118+K138)&lt;=1024,K118+K138,IF(K118+K138&gt;1024,K118+K138-2048,K118+K138+2048))</f>
        <v>-128.79512349389597</v>
      </c>
      <c r="L146" s="1">
        <f>L118+L138</f>
        <v>1</v>
      </c>
      <c r="M146" s="1">
        <f>IF(ABS(M118+M138)&lt;=1024,M118+M138,IF(M118+M138&gt;1024,M118+M138-2048,M118+M138+2048))</f>
        <v>831.34608883346527</v>
      </c>
      <c r="N146" s="1">
        <f>IF(ABS(K118+K138)&lt;=1024,N118,IF(K118+K138&gt;1024,N118+1,N118-1))</f>
        <v>-12925</v>
      </c>
      <c r="O146" s="1">
        <f>IF(ABS(M118+M138)&lt;=1024,O118,IF(M118+M138&gt;1024,O118+1,O118-1))</f>
        <v>14196</v>
      </c>
    </row>
    <row r="147" spans="1:19" hidden="1" x14ac:dyDescent="0.2">
      <c r="B147" s="1"/>
      <c r="C147" s="1"/>
      <c r="D147" s="1"/>
      <c r="E147" s="1"/>
      <c r="F147" s="1"/>
      <c r="G147" s="1"/>
      <c r="H147" s="1"/>
      <c r="I147" s="1"/>
      <c r="J147" s="1" t="s">
        <v>946</v>
      </c>
      <c r="K147" s="1">
        <f>IF(ABS(K119+K142)&lt;=1024,K119+K142,IF(K119+K142&gt;1024,K119+K142-2048,K119+K142+2048))</f>
        <v>-91.045310392954192</v>
      </c>
      <c r="L147" s="1">
        <f>L119+L142</f>
        <v>1</v>
      </c>
      <c r="M147" s="1">
        <f>IF(ABS(M119+M142)&lt;=1024,M119+M142,IF(M119+M142&gt;1024,M119+M142-2048,M119+M142+2048))</f>
        <v>915.53207166283448</v>
      </c>
      <c r="N147" s="1">
        <f>IF(ABS(K119+K142)&lt;=1024,N119,IF(K119+K142&gt;1024,N119+1,N119-1))</f>
        <v>-12925</v>
      </c>
      <c r="O147" s="1">
        <f>IF(ABS(M119+M142)&lt;=1024,O119,IF(M119+M142&gt;1024,O119+1,O119-1))</f>
        <v>14196</v>
      </c>
    </row>
    <row r="148" spans="1:19" hidden="1" x14ac:dyDescent="0.2">
      <c r="H148" s="1"/>
      <c r="I148" s="1"/>
      <c r="J148" s="41"/>
      <c r="K148" s="1"/>
      <c r="L148" s="1"/>
      <c r="M148" s="1"/>
      <c r="N148" s="1"/>
      <c r="O148" s="1"/>
    </row>
    <row r="149" spans="1:19" x14ac:dyDescent="0.2">
      <c r="A149" s="25" t="s">
        <v>1223</v>
      </c>
      <c r="H149" s="1"/>
      <c r="K149" s="1"/>
      <c r="L149" s="77"/>
      <c r="M149" s="1"/>
      <c r="N149" s="1"/>
      <c r="O149" s="1"/>
      <c r="P149" s="1"/>
      <c r="Q149" s="1"/>
      <c r="S149" s="77"/>
    </row>
    <row r="150" spans="1:19" x14ac:dyDescent="0.2">
      <c r="A150" s="54"/>
      <c r="C150" s="26" t="str">
        <f>T(IF(ABS(C152-C128)+ABS(E152-E128)&lt;&gt;0,"WARNING:  TILE CHANGE -&gt; other world tile file!",""))</f>
        <v/>
      </c>
      <c r="H150" s="1"/>
      <c r="I150" s="26" t="str">
        <f>T(IF(ABS(I152-I128)+ABS(K152-K128)&lt;&gt;0,"WARNING:  TILE CHANGE -&gt; other world tile file!",""))</f>
        <v/>
      </c>
      <c r="J150" s="1"/>
      <c r="K150" s="1"/>
      <c r="L150" s="1"/>
      <c r="M150" s="1"/>
      <c r="N150" s="1"/>
      <c r="O150" s="1"/>
      <c r="P150" s="1"/>
      <c r="Q150" s="1"/>
    </row>
    <row r="151" spans="1:19" ht="13.5" thickBot="1" x14ac:dyDescent="0.25">
      <c r="B151" s="33" t="s">
        <v>416</v>
      </c>
      <c r="H151" s="1"/>
      <c r="I151" s="26"/>
      <c r="J151" s="1"/>
      <c r="K151" s="1"/>
      <c r="L151" s="1"/>
      <c r="M151" s="1"/>
      <c r="N151" s="1"/>
      <c r="O151" s="1"/>
      <c r="P151" s="1"/>
      <c r="Q151" s="1"/>
    </row>
    <row r="152" spans="1:19" x14ac:dyDescent="0.2">
      <c r="A152" s="109" t="s">
        <v>962</v>
      </c>
      <c r="B152" s="110" t="s">
        <v>28</v>
      </c>
      <c r="C152" s="143">
        <f>N146</f>
        <v>-12925</v>
      </c>
      <c r="D152" s="110" t="s">
        <v>27</v>
      </c>
      <c r="E152" s="143">
        <f>O146</f>
        <v>14196</v>
      </c>
      <c r="F152" s="111"/>
      <c r="G152" s="128" t="s">
        <v>953</v>
      </c>
      <c r="H152" s="118" t="s">
        <v>28</v>
      </c>
      <c r="I152" s="143">
        <f>N147</f>
        <v>-12925</v>
      </c>
      <c r="J152" s="118" t="s">
        <v>27</v>
      </c>
      <c r="K152" s="143">
        <f>O147</f>
        <v>14196</v>
      </c>
      <c r="L152" s="119"/>
    </row>
    <row r="153" spans="1:19" x14ac:dyDescent="0.2">
      <c r="A153" s="112"/>
      <c r="B153" s="114" t="s">
        <v>29</v>
      </c>
      <c r="C153" s="144">
        <f>H146</f>
        <v>0</v>
      </c>
      <c r="D153" s="61"/>
      <c r="E153" s="61"/>
      <c r="F153" s="113"/>
      <c r="G153" s="120"/>
      <c r="H153" s="121" t="s">
        <v>29</v>
      </c>
      <c r="I153" s="144">
        <f>-H146</f>
        <v>0</v>
      </c>
      <c r="J153" s="122"/>
      <c r="K153" s="122"/>
      <c r="L153" s="123"/>
    </row>
    <row r="154" spans="1:19" x14ac:dyDescent="0.2">
      <c r="A154" s="112"/>
      <c r="B154" s="114" t="s">
        <v>26</v>
      </c>
      <c r="C154" s="145" t="str">
        <f>CONCATENATE(TEXT(K146,"0.000")," ",TEXT(L146,"0.000")," ",TEXT(M146,"0.000"))</f>
        <v>-128.795 1.000 831.346</v>
      </c>
      <c r="D154" s="61"/>
      <c r="E154" s="61"/>
      <c r="F154" s="113"/>
      <c r="G154" s="120"/>
      <c r="H154" s="121" t="s">
        <v>26</v>
      </c>
      <c r="I154" s="145" t="str">
        <f>CONCATENATE(TEXT(K147,"0.000")," ",TEXT(L147,"0.000")," ",TEXT(M147,"0.000"))</f>
        <v>-91.045 1.000 915.532</v>
      </c>
      <c r="J154" s="122"/>
      <c r="K154" s="122"/>
      <c r="L154" s="123"/>
    </row>
    <row r="155" spans="1:19" ht="13.5" thickBot="1" x14ac:dyDescent="0.25">
      <c r="A155" s="115"/>
      <c r="B155" s="116" t="s">
        <v>19</v>
      </c>
      <c r="C155" s="146" t="str">
        <f>I140</f>
        <v>0.000000 0.087156 0.000000 0.996195</v>
      </c>
      <c r="D155" s="60"/>
      <c r="E155" s="60"/>
      <c r="F155" s="117"/>
      <c r="G155" s="124"/>
      <c r="H155" s="125" t="s">
        <v>19</v>
      </c>
      <c r="I155" s="147" t="str">
        <f>N144</f>
        <v>0.000000 -0.984808 0.000000 -0.173648</v>
      </c>
      <c r="J155" s="126"/>
      <c r="K155" s="126"/>
      <c r="L155" s="127"/>
    </row>
    <row r="157" spans="1:19" x14ac:dyDescent="0.2">
      <c r="A157" s="82" t="s">
        <v>964</v>
      </c>
      <c r="B157" s="10"/>
      <c r="C157" s="10"/>
      <c r="D157" s="10"/>
      <c r="E157" s="10"/>
      <c r="F157" s="10"/>
      <c r="G157" s="10"/>
      <c r="H157" s="10"/>
      <c r="I157" s="10"/>
    </row>
    <row r="158" spans="1:19" x14ac:dyDescent="0.2">
      <c r="B158" s="45" t="s">
        <v>32</v>
      </c>
    </row>
    <row r="159" spans="1:19" x14ac:dyDescent="0.2">
      <c r="C159" s="12"/>
      <c r="L159" s="59"/>
      <c r="S159" s="77"/>
    </row>
    <row r="160" spans="1:19" hidden="1" x14ac:dyDescent="0.2">
      <c r="D160" s="1" t="s">
        <v>1214</v>
      </c>
      <c r="E160" s="1" t="s">
        <v>1215</v>
      </c>
      <c r="F160" s="1" t="s">
        <v>1216</v>
      </c>
      <c r="G160" s="1" t="s">
        <v>1217</v>
      </c>
      <c r="I160" s="53" t="s">
        <v>1221</v>
      </c>
      <c r="K160" s="1" t="s">
        <v>40</v>
      </c>
      <c r="L160" s="1" t="s">
        <v>41</v>
      </c>
      <c r="M160" s="1" t="s">
        <v>42</v>
      </c>
      <c r="O160" s="53" t="s">
        <v>1220</v>
      </c>
      <c r="P160" s="1" t="s">
        <v>207</v>
      </c>
    </row>
    <row r="161" spans="1:19" hidden="1" x14ac:dyDescent="0.2">
      <c r="B161" s="1" t="s">
        <v>945</v>
      </c>
      <c r="C161" s="19" t="s">
        <v>1212</v>
      </c>
      <c r="D161" s="19">
        <f>D139</f>
        <v>0.99619469809174555</v>
      </c>
      <c r="E161" s="19">
        <f>E139</f>
        <v>8.7155742747658166E-2</v>
      </c>
      <c r="F161" s="19">
        <f>F139</f>
        <v>0</v>
      </c>
      <c r="G161" s="19">
        <f>G139</f>
        <v>0</v>
      </c>
      <c r="H161" s="19"/>
      <c r="I161" s="19">
        <f>SQRT(K161^2+L161^2+M161^2)</f>
        <v>87.155742747658167</v>
      </c>
      <c r="J161" s="19" t="s">
        <v>961</v>
      </c>
      <c r="K161" s="19">
        <f>K138</f>
        <v>-7.596123493895969</v>
      </c>
      <c r="L161" s="19">
        <f>L138</f>
        <v>0</v>
      </c>
      <c r="M161" s="19">
        <f>M138</f>
        <v>86.824088833465169</v>
      </c>
      <c r="N161" s="20" t="s">
        <v>34</v>
      </c>
      <c r="O161" s="1">
        <f>O137</f>
        <v>0.99619469809174555</v>
      </c>
      <c r="P161" s="1">
        <f>P137</f>
        <v>0.98480775301220802</v>
      </c>
    </row>
    <row r="162" spans="1:19" hidden="1" x14ac:dyDescent="0.2">
      <c r="B162" s="1"/>
      <c r="C162" s="19" t="s">
        <v>1213</v>
      </c>
      <c r="D162" s="19">
        <f>D138</f>
        <v>0.99619469809174555</v>
      </c>
      <c r="E162" s="19">
        <f>E138</f>
        <v>8.7155742747658166E-2</v>
      </c>
      <c r="F162" s="19">
        <f>F138</f>
        <v>0</v>
      </c>
      <c r="G162" s="19">
        <f>G138</f>
        <v>0</v>
      </c>
      <c r="H162" s="19"/>
      <c r="I162" s="19">
        <f>SQRT(K162^2+L162^2+M162^2)</f>
        <v>87.155742747658152</v>
      </c>
      <c r="J162" s="19" t="s">
        <v>950</v>
      </c>
      <c r="K162" s="19">
        <f>P161*K161-P162*M161</f>
        <v>-22.557566113149832</v>
      </c>
      <c r="L162" s="19">
        <f>L161</f>
        <v>0</v>
      </c>
      <c r="M162" s="1">
        <f>P162*K161+P161*M161</f>
        <v>84.185982829369181</v>
      </c>
      <c r="N162" s="20" t="s">
        <v>35</v>
      </c>
      <c r="O162" s="1">
        <f>O138</f>
        <v>8.7155742747658166E-2</v>
      </c>
      <c r="P162" s="1">
        <f>P138</f>
        <v>0.17364817766693033</v>
      </c>
    </row>
    <row r="163" spans="1:19" hidden="1" x14ac:dyDescent="0.2">
      <c r="B163" s="1"/>
      <c r="C163" s="19" t="s">
        <v>1218</v>
      </c>
      <c r="D163" s="19">
        <f>D162*D161-E162*E161-F162*F161-G162*G161</f>
        <v>0.98480775301220813</v>
      </c>
      <c r="E163" s="19">
        <f>D162*E161+E162*D161+F162*G161-G162*F161</f>
        <v>0.17364817766693033</v>
      </c>
      <c r="F163" s="19">
        <f>D162*F161-E162*G161+F162*D161+G162*E161</f>
        <v>0</v>
      </c>
      <c r="G163" s="19">
        <f>D162*G161+E162*F161-F162*E161+G162*D161</f>
        <v>0</v>
      </c>
      <c r="H163" s="19"/>
      <c r="I163" s="19"/>
      <c r="J163" s="19"/>
      <c r="K163" s="19"/>
      <c r="L163" s="19"/>
    </row>
    <row r="164" spans="1:19" hidden="1" x14ac:dyDescent="0.2">
      <c r="B164" s="1"/>
      <c r="C164" s="19" t="s">
        <v>848</v>
      </c>
      <c r="D164" s="19">
        <f>F163</f>
        <v>0</v>
      </c>
      <c r="E164" s="19">
        <f>E163</f>
        <v>0.17364817766693033</v>
      </c>
      <c r="F164" s="19">
        <f>G163</f>
        <v>0</v>
      </c>
      <c r="G164" s="19">
        <f>D163</f>
        <v>0.98480775301220813</v>
      </c>
      <c r="H164" s="19" t="s">
        <v>878</v>
      </c>
      <c r="I164" s="19" t="str">
        <f>CONCATENATE(TEXT(D164,"0.000000")," ",TEXT(E164,"0.000000")," ",TEXT(F164,"0.000000")," ",TEXT(G164,"0.000000"))</f>
        <v>0.000000 0.173648 0.000000 0.984808</v>
      </c>
      <c r="J164" s="19"/>
      <c r="K164" s="19"/>
      <c r="L164" s="19"/>
      <c r="M164" s="1" t="s">
        <v>1188</v>
      </c>
      <c r="N164" s="1" t="str">
        <f>CONCATENATE(TEXT(-F164,"0.000000")," ",TEXT(-G164,"0.000000")," ",TEXT(D164,"0.000000")," ",TEXT(E164,"0.000000"))</f>
        <v>0.000000 -0.984808 0.000000 0.173648</v>
      </c>
    </row>
    <row r="165" spans="1:19" hidden="1" x14ac:dyDescent="0.2">
      <c r="B165" s="1" t="s">
        <v>946</v>
      </c>
      <c r="C165" s="19" t="s">
        <v>1212</v>
      </c>
      <c r="D165" s="19">
        <f>D143</f>
        <v>0.98480775301220813</v>
      </c>
      <c r="E165" s="19">
        <f>E143</f>
        <v>-0.17364817766693033</v>
      </c>
      <c r="F165" s="19">
        <f>F143</f>
        <v>0</v>
      </c>
      <c r="G165" s="19">
        <f>G143</f>
        <v>0</v>
      </c>
      <c r="H165" s="19"/>
      <c r="I165" s="19">
        <f>SQRT(K165^2+L165^2+M165^2)</f>
        <v>87.155742747658152</v>
      </c>
      <c r="J165" s="19" t="s">
        <v>947</v>
      </c>
      <c r="K165" s="19">
        <f>K142</f>
        <v>22.557566113149832</v>
      </c>
      <c r="L165" s="19">
        <f>L142</f>
        <v>0</v>
      </c>
      <c r="M165" s="19">
        <f>M142</f>
        <v>84.185982829369181</v>
      </c>
      <c r="N165" s="20"/>
      <c r="O165" s="1"/>
    </row>
    <row r="166" spans="1:19" hidden="1" x14ac:dyDescent="0.2">
      <c r="B166" s="1"/>
      <c r="C166" s="19" t="s">
        <v>952</v>
      </c>
      <c r="D166" s="19">
        <f>D142</f>
        <v>0.99619469809174555</v>
      </c>
      <c r="E166" s="19">
        <f>E142</f>
        <v>-8.7155742747658166E-2</v>
      </c>
      <c r="F166" s="19">
        <f>F142</f>
        <v>0</v>
      </c>
      <c r="G166" s="19">
        <f>G142</f>
        <v>0</v>
      </c>
      <c r="H166" s="19"/>
      <c r="I166" s="19">
        <f>SQRT(K166^2+L166^2+M166^2)</f>
        <v>87.155742747658152</v>
      </c>
      <c r="J166" s="19" t="s">
        <v>951</v>
      </c>
      <c r="K166" s="19">
        <f>P161*K165+P162*M165</f>
        <v>36.833608500734861</v>
      </c>
      <c r="L166" s="19">
        <f>L165</f>
        <v>0</v>
      </c>
      <c r="M166" s="1">
        <f>-P162*K165+P161*M165</f>
        <v>78.989928337165622</v>
      </c>
      <c r="N166" s="20"/>
      <c r="O166" s="1"/>
    </row>
    <row r="167" spans="1:19" hidden="1" x14ac:dyDescent="0.2">
      <c r="B167" s="1"/>
      <c r="C167" s="19" t="s">
        <v>1218</v>
      </c>
      <c r="D167" s="19">
        <f>D166*D165-E166*E165-F166*F165-G166*G165</f>
        <v>0.96592582628906831</v>
      </c>
      <c r="E167" s="19">
        <f>D166*E165+E166*D165+F166*G165-G166*F165</f>
        <v>-0.25881904510252074</v>
      </c>
      <c r="F167" s="19">
        <f>D166*F165-E166*G165+F166*D165+G166*E165</f>
        <v>0</v>
      </c>
      <c r="G167" s="19">
        <f>D166*G165+E166*F165-F166*E165+G166*D165</f>
        <v>0</v>
      </c>
      <c r="H167" s="19"/>
      <c r="I167" s="19"/>
      <c r="J167" s="19"/>
      <c r="K167" s="19"/>
      <c r="L167" s="19"/>
    </row>
    <row r="168" spans="1:19" hidden="1" x14ac:dyDescent="0.2">
      <c r="B168" s="1"/>
      <c r="C168" s="19" t="s">
        <v>848</v>
      </c>
      <c r="D168" s="19">
        <f>F167</f>
        <v>0</v>
      </c>
      <c r="E168" s="19">
        <f>E167</f>
        <v>-0.25881904510252074</v>
      </c>
      <c r="F168" s="19">
        <f>G167</f>
        <v>0</v>
      </c>
      <c r="G168" s="19">
        <f>D167</f>
        <v>0.96592582628906831</v>
      </c>
      <c r="H168" s="19" t="s">
        <v>878</v>
      </c>
      <c r="I168" s="19" t="str">
        <f>CONCATENATE(TEXT(D168,"0.000000")," ",TEXT(E168,"0.000000")," ",TEXT(F168,"0.000000")," ",TEXT(G168,"0.000000"))</f>
        <v>0.000000 -0.258819 0.000000 0.965926</v>
      </c>
      <c r="J168" s="19"/>
      <c r="K168" s="19"/>
      <c r="L168" s="19"/>
      <c r="M168" s="1" t="s">
        <v>1188</v>
      </c>
      <c r="N168" s="1" t="str">
        <f>CONCATENATE(TEXT(-F168,"0.000000")," ",TEXT(-G168,"0.000000")," ",TEXT(D168,"0.000000")," ",TEXT(E168,"0.000000"))</f>
        <v>0.000000 -0.965926 0.000000 -0.258819</v>
      </c>
    </row>
    <row r="169" spans="1:19" hidden="1" x14ac:dyDescent="0.2">
      <c r="A169" s="54"/>
      <c r="B169" s="1"/>
      <c r="C169" s="1"/>
      <c r="D169" s="1"/>
      <c r="E169" s="1"/>
      <c r="F169" s="1"/>
      <c r="G169" s="1"/>
      <c r="H169" s="1" t="s">
        <v>31</v>
      </c>
      <c r="I169" s="1"/>
      <c r="J169" s="1"/>
      <c r="K169" s="1" t="s">
        <v>14</v>
      </c>
      <c r="L169" s="1" t="s">
        <v>15</v>
      </c>
      <c r="M169" s="1" t="s">
        <v>16</v>
      </c>
      <c r="N169" s="1" t="s">
        <v>17</v>
      </c>
      <c r="O169" s="1" t="s">
        <v>18</v>
      </c>
    </row>
    <row r="170" spans="1:19" hidden="1" x14ac:dyDescent="0.2">
      <c r="B170" s="1"/>
      <c r="C170" s="1"/>
      <c r="D170" s="1"/>
      <c r="E170" s="1"/>
      <c r="F170" s="1"/>
      <c r="G170" s="1"/>
      <c r="H170" s="1">
        <f>H146</f>
        <v>0</v>
      </c>
      <c r="I170" s="1"/>
      <c r="J170" s="1" t="s">
        <v>945</v>
      </c>
      <c r="K170" s="1">
        <f>IF(ABS(K146+K162)&lt;=1024,K146+K162,IF(K146+K162&gt;1024,K146+K162-2048,K146+K162+2048))</f>
        <v>-151.35268960704582</v>
      </c>
      <c r="L170" s="1">
        <f>L146+L162</f>
        <v>1</v>
      </c>
      <c r="M170" s="1">
        <f>IF(ABS(M146+M162)&lt;=1024,M146+M162,IF(M146+M162&gt;1024,M146+M162-2048,M146+M162+2048))</f>
        <v>915.53207166283448</v>
      </c>
      <c r="N170" s="1">
        <f>IF(ABS(K146+K162)&lt;=1024,N146,IF(K146+K162&gt;1024,N146+1,N146-1))</f>
        <v>-12925</v>
      </c>
      <c r="O170" s="1">
        <f>IF(ABS(M146+M162)&lt;=1024,O146,IF(M146+M162&gt;1024,O146+1,O146-1))</f>
        <v>14196</v>
      </c>
    </row>
    <row r="171" spans="1:19" hidden="1" x14ac:dyDescent="0.2">
      <c r="B171" s="1"/>
      <c r="C171" s="1"/>
      <c r="D171" s="1"/>
      <c r="E171" s="1"/>
      <c r="F171" s="1"/>
      <c r="G171" s="1"/>
      <c r="H171" s="1"/>
      <c r="I171" s="1"/>
      <c r="J171" s="1" t="s">
        <v>946</v>
      </c>
      <c r="K171" s="1">
        <f>IF(ABS(K147+K166)&lt;=1024,K147+K166,IF(K147+K166&gt;1024,K147+K166-2048,K147+K166+2048))</f>
        <v>-54.211701892219331</v>
      </c>
      <c r="L171" s="1">
        <f>L147+L166</f>
        <v>1</v>
      </c>
      <c r="M171" s="1">
        <f>IF(ABS(M147+M166)&lt;=1024,M147+M166,IF(M147+M166&gt;1024,M147+M166-2048,M147+M166+2048))</f>
        <v>994.52200000000016</v>
      </c>
      <c r="N171" s="1">
        <f>IF(ABS(K147+K166)&lt;=1024,N147,IF(K147+K166&gt;1024,N147+1,N147-1))</f>
        <v>-12925</v>
      </c>
      <c r="O171" s="1">
        <f>IF(ABS(M147+M166)&lt;=1024,O147,IF(M147+M166&gt;1024,O147+1,O147-1))</f>
        <v>14196</v>
      </c>
    </row>
    <row r="172" spans="1:19" hidden="1" x14ac:dyDescent="0.2">
      <c r="H172" s="1"/>
      <c r="I172" s="1"/>
      <c r="J172" s="41"/>
      <c r="K172" s="1"/>
      <c r="L172" s="1"/>
      <c r="M172" s="1"/>
      <c r="N172" s="1"/>
      <c r="O172" s="1"/>
    </row>
    <row r="173" spans="1:19" x14ac:dyDescent="0.2">
      <c r="A173" s="25" t="s">
        <v>1224</v>
      </c>
      <c r="H173" s="1"/>
      <c r="K173" s="1"/>
      <c r="L173" s="77"/>
      <c r="M173" s="1"/>
      <c r="N173" s="1"/>
      <c r="O173" s="1"/>
      <c r="P173" s="1"/>
      <c r="Q173" s="1"/>
      <c r="S173" s="77"/>
    </row>
    <row r="174" spans="1:19" x14ac:dyDescent="0.2">
      <c r="A174" s="54"/>
      <c r="C174" s="26" t="str">
        <f>T(IF(ABS(C176-C152)+ABS(E176-E152)&lt;&gt;0,"WARNING:  TILE CHANGE -&gt; other world tile file!",""))</f>
        <v/>
      </c>
      <c r="H174" s="1"/>
      <c r="I174" s="26" t="str">
        <f>T(IF(ABS(I176-I152)+ABS(K176-K152)&lt;&gt;0,"WARNING:  TILE CHANGE -&gt; other world tile file!",""))</f>
        <v/>
      </c>
      <c r="J174" s="1"/>
      <c r="K174" s="1"/>
      <c r="L174" s="1"/>
      <c r="M174" s="1"/>
      <c r="N174" s="1"/>
      <c r="O174" s="1"/>
      <c r="P174" s="1"/>
      <c r="Q174" s="1"/>
    </row>
    <row r="175" spans="1:19" ht="13.5" thickBot="1" x14ac:dyDescent="0.25">
      <c r="B175" s="33" t="s">
        <v>416</v>
      </c>
      <c r="H175" s="1"/>
      <c r="I175" s="26"/>
      <c r="J175" s="1"/>
      <c r="K175" s="1"/>
      <c r="L175" s="1"/>
      <c r="M175" s="1"/>
      <c r="N175" s="1"/>
      <c r="O175" s="1"/>
      <c r="P175" s="1"/>
      <c r="Q175" s="1"/>
    </row>
    <row r="176" spans="1:19" x14ac:dyDescent="0.2">
      <c r="A176" s="109" t="s">
        <v>962</v>
      </c>
      <c r="B176" s="110" t="s">
        <v>28</v>
      </c>
      <c r="C176" s="143">
        <f>N170</f>
        <v>-12925</v>
      </c>
      <c r="D176" s="110" t="s">
        <v>27</v>
      </c>
      <c r="E176" s="143">
        <f>O170</f>
        <v>14196</v>
      </c>
      <c r="F176" s="111"/>
      <c r="G176" s="128" t="s">
        <v>953</v>
      </c>
      <c r="H176" s="118" t="s">
        <v>28</v>
      </c>
      <c r="I176" s="143">
        <f>N171</f>
        <v>-12925</v>
      </c>
      <c r="J176" s="118" t="s">
        <v>27</v>
      </c>
      <c r="K176" s="143">
        <f>O171</f>
        <v>14196</v>
      </c>
      <c r="L176" s="119"/>
    </row>
    <row r="177" spans="1:19" x14ac:dyDescent="0.2">
      <c r="A177" s="112"/>
      <c r="B177" s="114" t="s">
        <v>29</v>
      </c>
      <c r="C177" s="144">
        <f>H170</f>
        <v>0</v>
      </c>
      <c r="D177" s="61"/>
      <c r="E177" s="61"/>
      <c r="F177" s="113"/>
      <c r="G177" s="120"/>
      <c r="H177" s="121" t="s">
        <v>29</v>
      </c>
      <c r="I177" s="144">
        <f>-H170</f>
        <v>0</v>
      </c>
      <c r="J177" s="122"/>
      <c r="K177" s="122"/>
      <c r="L177" s="123"/>
    </row>
    <row r="178" spans="1:19" x14ac:dyDescent="0.2">
      <c r="A178" s="112"/>
      <c r="B178" s="114" t="s">
        <v>26</v>
      </c>
      <c r="C178" s="145" t="str">
        <f>CONCATENATE(TEXT(K170,"0.000")," ",TEXT(L170,"0.000")," ",TEXT(M170,"0.000"))</f>
        <v>-151.353 1.000 915.532</v>
      </c>
      <c r="D178" s="61"/>
      <c r="E178" s="61"/>
      <c r="F178" s="113"/>
      <c r="G178" s="120"/>
      <c r="H178" s="121" t="s">
        <v>26</v>
      </c>
      <c r="I178" s="145" t="str">
        <f>CONCATENATE(TEXT(K171,"0.000")," ",TEXT(L171,"0.000")," ",TEXT(M171,"0.000"))</f>
        <v>-54.212 1.000 994.522</v>
      </c>
      <c r="J178" s="122"/>
      <c r="K178" s="122"/>
      <c r="L178" s="123"/>
    </row>
    <row r="179" spans="1:19" ht="13.5" thickBot="1" x14ac:dyDescent="0.25">
      <c r="A179" s="115"/>
      <c r="B179" s="116" t="s">
        <v>19</v>
      </c>
      <c r="C179" s="146" t="str">
        <f>I164</f>
        <v>0.000000 0.173648 0.000000 0.984808</v>
      </c>
      <c r="D179" s="60"/>
      <c r="E179" s="60"/>
      <c r="F179" s="117"/>
      <c r="G179" s="124"/>
      <c r="H179" s="125" t="s">
        <v>19</v>
      </c>
      <c r="I179" s="147" t="str">
        <f>N168</f>
        <v>0.000000 -0.965926 0.000000 -0.258819</v>
      </c>
      <c r="J179" s="126"/>
      <c r="K179" s="126"/>
      <c r="L179" s="127"/>
    </row>
    <row r="181" spans="1:19" x14ac:dyDescent="0.2">
      <c r="A181" s="82" t="s">
        <v>964</v>
      </c>
      <c r="B181" s="10"/>
      <c r="C181" s="10"/>
      <c r="D181" s="10"/>
      <c r="E181" s="10"/>
      <c r="F181" s="10"/>
      <c r="G181" s="10"/>
      <c r="H181" s="10"/>
      <c r="I181" s="10"/>
    </row>
    <row r="182" spans="1:19" x14ac:dyDescent="0.2">
      <c r="B182" s="45" t="s">
        <v>32</v>
      </c>
    </row>
    <row r="183" spans="1:19" x14ac:dyDescent="0.2">
      <c r="C183" s="12"/>
      <c r="L183" s="59"/>
      <c r="S183" s="77"/>
    </row>
    <row r="184" spans="1:19" hidden="1" x14ac:dyDescent="0.2">
      <c r="D184" s="1" t="s">
        <v>1214</v>
      </c>
      <c r="E184" s="1" t="s">
        <v>1215</v>
      </c>
      <c r="F184" s="1" t="s">
        <v>1216</v>
      </c>
      <c r="G184" s="1" t="s">
        <v>1217</v>
      </c>
      <c r="I184" s="53" t="s">
        <v>1221</v>
      </c>
      <c r="K184" s="1" t="s">
        <v>40</v>
      </c>
      <c r="L184" s="1" t="s">
        <v>41</v>
      </c>
      <c r="M184" s="1" t="s">
        <v>42</v>
      </c>
      <c r="O184" s="53" t="s">
        <v>1220</v>
      </c>
      <c r="P184" s="1" t="s">
        <v>207</v>
      </c>
    </row>
    <row r="185" spans="1:19" hidden="1" x14ac:dyDescent="0.2">
      <c r="B185" s="1" t="s">
        <v>945</v>
      </c>
      <c r="C185" s="19" t="s">
        <v>1212</v>
      </c>
      <c r="D185" s="19">
        <f>D163</f>
        <v>0.98480775301220813</v>
      </c>
      <c r="E185" s="19">
        <f>E163</f>
        <v>0.17364817766693033</v>
      </c>
      <c r="F185" s="19">
        <f>F163</f>
        <v>0</v>
      </c>
      <c r="G185" s="19">
        <f>G163</f>
        <v>0</v>
      </c>
      <c r="H185" s="19"/>
      <c r="I185" s="19">
        <f>SQRT(K185^2+L185^2+M185^2)</f>
        <v>87.155742747658152</v>
      </c>
      <c r="J185" s="19" t="s">
        <v>961</v>
      </c>
      <c r="K185" s="19">
        <f>K162</f>
        <v>-22.557566113149832</v>
      </c>
      <c r="L185" s="19">
        <f>L162</f>
        <v>0</v>
      </c>
      <c r="M185" s="19">
        <f>M162</f>
        <v>84.185982829369181</v>
      </c>
      <c r="N185" s="20" t="s">
        <v>34</v>
      </c>
      <c r="O185" s="1">
        <f>O161</f>
        <v>0.99619469809174555</v>
      </c>
      <c r="P185" s="1">
        <f>P161</f>
        <v>0.98480775301220802</v>
      </c>
    </row>
    <row r="186" spans="1:19" hidden="1" x14ac:dyDescent="0.2">
      <c r="B186" s="1"/>
      <c r="C186" s="19" t="s">
        <v>1213</v>
      </c>
      <c r="D186" s="19">
        <f>D162</f>
        <v>0.99619469809174555</v>
      </c>
      <c r="E186" s="19">
        <f>E162</f>
        <v>8.7155742747658166E-2</v>
      </c>
      <c r="F186" s="19">
        <f>F162</f>
        <v>0</v>
      </c>
      <c r="G186" s="19">
        <f>G162</f>
        <v>0</v>
      </c>
      <c r="H186" s="19"/>
      <c r="I186" s="19">
        <f>SQRT(K186^2+L186^2+M186^2)</f>
        <v>87.155742747658152</v>
      </c>
      <c r="J186" s="19" t="s">
        <v>950</v>
      </c>
      <c r="K186" s="19">
        <f>P185*K185-P186*M185</f>
        <v>-36.833608500734861</v>
      </c>
      <c r="L186" s="19">
        <f>L185</f>
        <v>0</v>
      </c>
      <c r="M186" s="1">
        <f>P186*K185+P185*M185</f>
        <v>78.989928337165622</v>
      </c>
      <c r="N186" s="20" t="s">
        <v>35</v>
      </c>
      <c r="O186" s="1">
        <f>O162</f>
        <v>8.7155742747658166E-2</v>
      </c>
      <c r="P186" s="1">
        <f>P162</f>
        <v>0.17364817766693033</v>
      </c>
    </row>
    <row r="187" spans="1:19" hidden="1" x14ac:dyDescent="0.2">
      <c r="B187" s="1"/>
      <c r="C187" s="19" t="s">
        <v>1218</v>
      </c>
      <c r="D187" s="19">
        <f>D186*D185-E186*E185-F186*F185-G186*G185</f>
        <v>0.96592582628906831</v>
      </c>
      <c r="E187" s="19">
        <f>D186*E185+E186*D185+F186*G185-G186*F185</f>
        <v>0.25881904510252074</v>
      </c>
      <c r="F187" s="19">
        <f>D186*F185-E186*G185+F186*D185+G186*E185</f>
        <v>0</v>
      </c>
      <c r="G187" s="19">
        <f>D186*G185+E186*F185-F186*E185+G186*D185</f>
        <v>0</v>
      </c>
      <c r="H187" s="19"/>
      <c r="I187" s="19"/>
      <c r="J187" s="19"/>
      <c r="K187" s="19"/>
      <c r="L187" s="19"/>
    </row>
    <row r="188" spans="1:19" hidden="1" x14ac:dyDescent="0.2">
      <c r="B188" s="1"/>
      <c r="C188" s="19" t="s">
        <v>848</v>
      </c>
      <c r="D188" s="19">
        <f>F187</f>
        <v>0</v>
      </c>
      <c r="E188" s="19">
        <f>E187</f>
        <v>0.25881904510252074</v>
      </c>
      <c r="F188" s="19">
        <f>G187</f>
        <v>0</v>
      </c>
      <c r="G188" s="19">
        <f>D187</f>
        <v>0.96592582628906831</v>
      </c>
      <c r="H188" s="19" t="s">
        <v>878</v>
      </c>
      <c r="I188" s="19" t="str">
        <f>CONCATENATE(TEXT(D188,"0.000000")," ",TEXT(E188,"0.000000")," ",TEXT(F188,"0.000000")," ",TEXT(G188,"0.000000"))</f>
        <v>0.000000 0.258819 0.000000 0.965926</v>
      </c>
      <c r="J188" s="19"/>
      <c r="K188" s="19"/>
      <c r="L188" s="19"/>
      <c r="M188" s="1" t="s">
        <v>1188</v>
      </c>
      <c r="N188" s="1" t="str">
        <f>CONCATENATE(TEXT(-F188,"0.000000")," ",TEXT(-G188,"0.000000")," ",TEXT(D188,"0.000000")," ",TEXT(E188,"0.000000"))</f>
        <v>0.000000 -0.965926 0.000000 0.258819</v>
      </c>
    </row>
    <row r="189" spans="1:19" hidden="1" x14ac:dyDescent="0.2">
      <c r="B189" s="1" t="s">
        <v>946</v>
      </c>
      <c r="C189" s="19" t="s">
        <v>1212</v>
      </c>
      <c r="D189" s="19">
        <f>D167</f>
        <v>0.96592582628906831</v>
      </c>
      <c r="E189" s="19">
        <f>E167</f>
        <v>-0.25881904510252074</v>
      </c>
      <c r="F189" s="19">
        <f>F167</f>
        <v>0</v>
      </c>
      <c r="G189" s="19">
        <f>G167</f>
        <v>0</v>
      </c>
      <c r="H189" s="19"/>
      <c r="I189" s="19">
        <f>SQRT(K189^2+L189^2+M189^2)</f>
        <v>87.155742747658152</v>
      </c>
      <c r="J189" s="19" t="s">
        <v>947</v>
      </c>
      <c r="K189" s="19">
        <f>K166</f>
        <v>36.833608500734861</v>
      </c>
      <c r="L189" s="19">
        <f>L166</f>
        <v>0</v>
      </c>
      <c r="M189" s="19">
        <f>M166</f>
        <v>78.989928337165622</v>
      </c>
      <c r="N189" s="20"/>
      <c r="O189" s="1"/>
    </row>
    <row r="190" spans="1:19" hidden="1" x14ac:dyDescent="0.2">
      <c r="B190" s="1"/>
      <c r="C190" s="19" t="s">
        <v>952</v>
      </c>
      <c r="D190" s="19">
        <f>D166</f>
        <v>0.99619469809174555</v>
      </c>
      <c r="E190" s="19">
        <f>E166</f>
        <v>-8.7155742747658166E-2</v>
      </c>
      <c r="F190" s="19">
        <f>F166</f>
        <v>0</v>
      </c>
      <c r="G190" s="19">
        <f>G166</f>
        <v>0</v>
      </c>
      <c r="H190" s="19"/>
      <c r="I190" s="19">
        <f>SQRT(K190^2+L190^2+M190^2)</f>
        <v>87.155742747658152</v>
      </c>
      <c r="J190" s="19" t="s">
        <v>951</v>
      </c>
      <c r="K190" s="19">
        <f>P185*K189+P186*M189</f>
        <v>49.9904803327303</v>
      </c>
      <c r="L190" s="19">
        <f>L189</f>
        <v>0</v>
      </c>
      <c r="M190" s="1">
        <f>-P186*K189+P185*M189</f>
        <v>71.393804843269649</v>
      </c>
      <c r="N190" s="20"/>
      <c r="O190" s="1"/>
    </row>
    <row r="191" spans="1:19" hidden="1" x14ac:dyDescent="0.2">
      <c r="B191" s="1"/>
      <c r="C191" s="19" t="s">
        <v>1218</v>
      </c>
      <c r="D191" s="19">
        <f>D190*D189-E190*E189-F190*F189-G190*G189</f>
        <v>0.93969262078590843</v>
      </c>
      <c r="E191" s="19">
        <f>D190*E189+E190*D189+F190*G189-G190*F189</f>
        <v>-0.34202014332566871</v>
      </c>
      <c r="F191" s="19">
        <f>D190*F189-E190*G189+F190*D189+G190*E189</f>
        <v>0</v>
      </c>
      <c r="G191" s="19">
        <f>D190*G189+E190*F189-F190*E189+G190*D189</f>
        <v>0</v>
      </c>
      <c r="H191" s="19"/>
      <c r="I191" s="19"/>
      <c r="J191" s="19"/>
      <c r="K191" s="19"/>
      <c r="L191" s="19"/>
    </row>
    <row r="192" spans="1:19" hidden="1" x14ac:dyDescent="0.2">
      <c r="B192" s="1"/>
      <c r="C192" s="19" t="s">
        <v>848</v>
      </c>
      <c r="D192" s="19">
        <f>F191</f>
        <v>0</v>
      </c>
      <c r="E192" s="19">
        <f>E191</f>
        <v>-0.34202014332566871</v>
      </c>
      <c r="F192" s="19">
        <f>G191</f>
        <v>0</v>
      </c>
      <c r="G192" s="19">
        <f>D191</f>
        <v>0.93969262078590843</v>
      </c>
      <c r="H192" s="19" t="s">
        <v>878</v>
      </c>
      <c r="I192" s="19" t="str">
        <f>CONCATENATE(TEXT(D192,"0.000000")," ",TEXT(E192,"0.000000")," ",TEXT(F192,"0.000000")," ",TEXT(G192,"0.000000"))</f>
        <v>0.000000 -0.342020 0.000000 0.939693</v>
      </c>
      <c r="J192" s="19"/>
      <c r="K192" s="19"/>
      <c r="L192" s="19"/>
      <c r="M192" s="1" t="s">
        <v>1188</v>
      </c>
      <c r="N192" s="1" t="str">
        <f>CONCATENATE(TEXT(-F192,"0.000000")," ",TEXT(-G192,"0.000000")," ",TEXT(D192,"0.000000")," ",TEXT(E192,"0.000000"))</f>
        <v>0.000000 -0.939693 0.000000 -0.342020</v>
      </c>
    </row>
    <row r="193" spans="1:19" hidden="1" x14ac:dyDescent="0.2">
      <c r="A193" s="54"/>
      <c r="B193" s="1"/>
      <c r="C193" s="1"/>
      <c r="D193" s="1"/>
      <c r="E193" s="1"/>
      <c r="F193" s="1"/>
      <c r="G193" s="1"/>
      <c r="H193" s="1" t="s">
        <v>31</v>
      </c>
      <c r="I193" s="1"/>
      <c r="J193" s="1"/>
      <c r="K193" s="1" t="s">
        <v>14</v>
      </c>
      <c r="L193" s="1" t="s">
        <v>15</v>
      </c>
      <c r="M193" s="1" t="s">
        <v>16</v>
      </c>
      <c r="N193" s="1" t="s">
        <v>17</v>
      </c>
      <c r="O193" s="1" t="s">
        <v>18</v>
      </c>
    </row>
    <row r="194" spans="1:19" hidden="1" x14ac:dyDescent="0.2">
      <c r="B194" s="1"/>
      <c r="C194" s="1"/>
      <c r="D194" s="1"/>
      <c r="E194" s="1"/>
      <c r="F194" s="1"/>
      <c r="G194" s="1"/>
      <c r="H194" s="1">
        <f>H170</f>
        <v>0</v>
      </c>
      <c r="I194" s="1"/>
      <c r="J194" s="1" t="s">
        <v>945</v>
      </c>
      <c r="K194" s="1">
        <f>IF(ABS(K170+K186)&lt;=1024,K170+K186,IF(K170+K186&gt;1024,K170+K186-2048,K170+K186+2048))</f>
        <v>-188.18629810778069</v>
      </c>
      <c r="L194" s="1">
        <f>L170+L186</f>
        <v>1</v>
      </c>
      <c r="M194" s="1">
        <f>IF(ABS(M170+M186)&lt;=1024,M170+M186,IF(M170+M186&gt;1024,M170+M186-2048,M170+M186+2048))</f>
        <v>994.52200000000016</v>
      </c>
      <c r="N194" s="1">
        <f>IF(ABS(K170+K186)&lt;=1024,N170,IF(K170+K186&gt;1024,N170+1,N170-1))</f>
        <v>-12925</v>
      </c>
      <c r="O194" s="1">
        <f>IF(ABS(M170+M186)&lt;=1024,O170,IF(M170+M186&gt;1024,O170+1,O170-1))</f>
        <v>14196</v>
      </c>
    </row>
    <row r="195" spans="1:19" hidden="1" x14ac:dyDescent="0.2">
      <c r="B195" s="1"/>
      <c r="C195" s="1"/>
      <c r="D195" s="1"/>
      <c r="E195" s="1"/>
      <c r="F195" s="1"/>
      <c r="G195" s="1"/>
      <c r="H195" s="1"/>
      <c r="I195" s="1"/>
      <c r="J195" s="1" t="s">
        <v>946</v>
      </c>
      <c r="K195" s="1">
        <f>IF(ABS(K171+K190)&lt;=1024,K171+K190,IF(K171+K190&gt;1024,K171+K190-2048,K171+K190+2048))</f>
        <v>-4.221221559489031</v>
      </c>
      <c r="L195" s="1">
        <f>L171+L190</f>
        <v>1</v>
      </c>
      <c r="M195" s="1">
        <f>IF(ABS(M171+M190)&lt;=1024,M171+M190,IF(M171+M190&gt;1024,M171+M190-2048,M171+M190+2048))</f>
        <v>-982.08419515673017</v>
      </c>
      <c r="N195" s="1">
        <f>IF(ABS(K171+K190)&lt;=1024,N171,IF(K171+K190&gt;1024,N171+1,N171-1))</f>
        <v>-12925</v>
      </c>
      <c r="O195" s="1">
        <f>IF(ABS(M171+M190)&lt;=1024,O171,IF(M171+M190&gt;1024,O171+1,O171-1))</f>
        <v>14197</v>
      </c>
    </row>
    <row r="196" spans="1:19" hidden="1" x14ac:dyDescent="0.2">
      <c r="H196" s="1"/>
      <c r="I196" s="1"/>
      <c r="J196" s="41"/>
      <c r="K196" s="1"/>
      <c r="L196" s="1"/>
      <c r="M196" s="1"/>
      <c r="N196" s="1"/>
      <c r="O196" s="1"/>
    </row>
    <row r="197" spans="1:19" x14ac:dyDescent="0.2">
      <c r="A197" s="25" t="s">
        <v>1225</v>
      </c>
      <c r="H197" s="1"/>
      <c r="K197" s="1"/>
      <c r="L197" s="77"/>
      <c r="M197" s="1"/>
      <c r="N197" s="1"/>
      <c r="O197" s="1"/>
      <c r="P197" s="1"/>
      <c r="Q197" s="1"/>
      <c r="S197" s="77"/>
    </row>
    <row r="198" spans="1:19" x14ac:dyDescent="0.2">
      <c r="A198" s="54"/>
      <c r="C198" s="26" t="str">
        <f>T(IF(ABS(C200-C176)+ABS(E200-E176)&lt;&gt;0,"WARNING:  TILE CHANGE -&gt; other world tile file!",""))</f>
        <v/>
      </c>
      <c r="H198" s="1"/>
      <c r="I198" s="26" t="str">
        <f>T(IF(ABS(I200-I176)+ABS(K200-K176)&lt;&gt;0,"WARNING:  TILE CHANGE -&gt; other world tile file!",""))</f>
        <v>WARNING:  TILE CHANGE -&gt; other world tile file!</v>
      </c>
      <c r="J198" s="1"/>
      <c r="K198" s="1"/>
      <c r="L198" s="1"/>
      <c r="M198" s="1"/>
      <c r="N198" s="1"/>
      <c r="O198" s="1"/>
      <c r="P198" s="1"/>
      <c r="Q198" s="1"/>
    </row>
    <row r="199" spans="1:19" ht="13.5" thickBot="1" x14ac:dyDescent="0.25">
      <c r="B199" s="33" t="s">
        <v>416</v>
      </c>
      <c r="H199" s="1"/>
      <c r="I199" s="26"/>
      <c r="J199" s="1"/>
      <c r="K199" s="1"/>
      <c r="L199" s="1"/>
      <c r="M199" s="1"/>
      <c r="N199" s="1"/>
      <c r="O199" s="1"/>
      <c r="P199" s="1"/>
      <c r="Q199" s="1"/>
    </row>
    <row r="200" spans="1:19" x14ac:dyDescent="0.2">
      <c r="A200" s="109" t="s">
        <v>962</v>
      </c>
      <c r="B200" s="110" t="s">
        <v>28</v>
      </c>
      <c r="C200" s="143">
        <f>N194</f>
        <v>-12925</v>
      </c>
      <c r="D200" s="110" t="s">
        <v>27</v>
      </c>
      <c r="E200" s="143">
        <f>O194</f>
        <v>14196</v>
      </c>
      <c r="F200" s="111"/>
      <c r="G200" s="128" t="s">
        <v>953</v>
      </c>
      <c r="H200" s="118" t="s">
        <v>28</v>
      </c>
      <c r="I200" s="143">
        <f>N195</f>
        <v>-12925</v>
      </c>
      <c r="J200" s="118" t="s">
        <v>27</v>
      </c>
      <c r="K200" s="143">
        <f>O195</f>
        <v>14197</v>
      </c>
      <c r="L200" s="119"/>
    </row>
    <row r="201" spans="1:19" x14ac:dyDescent="0.2">
      <c r="A201" s="112"/>
      <c r="B201" s="114" t="s">
        <v>29</v>
      </c>
      <c r="C201" s="144">
        <f>H194</f>
        <v>0</v>
      </c>
      <c r="D201" s="61"/>
      <c r="E201" s="61"/>
      <c r="F201" s="113"/>
      <c r="G201" s="120"/>
      <c r="H201" s="121" t="s">
        <v>29</v>
      </c>
      <c r="I201" s="144">
        <f>-H194</f>
        <v>0</v>
      </c>
      <c r="J201" s="122"/>
      <c r="K201" s="122"/>
      <c r="L201" s="123"/>
    </row>
    <row r="202" spans="1:19" x14ac:dyDescent="0.2">
      <c r="A202" s="112"/>
      <c r="B202" s="114" t="s">
        <v>26</v>
      </c>
      <c r="C202" s="145" t="str">
        <f>CONCATENATE(TEXT(K194,"0.000")," ",TEXT(L194,"0.000")," ",TEXT(M194,"0.000"))</f>
        <v>-188.186 1.000 994.522</v>
      </c>
      <c r="D202" s="61"/>
      <c r="E202" s="61"/>
      <c r="F202" s="113"/>
      <c r="G202" s="120"/>
      <c r="H202" s="121" t="s">
        <v>26</v>
      </c>
      <c r="I202" s="145" t="str">
        <f>CONCATENATE(TEXT(K195,"0.000")," ",TEXT(L195,"0.000")," ",TEXT(M195,"0.000"))</f>
        <v>-4.221 1.000 -982.084</v>
      </c>
      <c r="J202" s="122"/>
      <c r="K202" s="122"/>
      <c r="L202" s="123"/>
    </row>
    <row r="203" spans="1:19" ht="13.5" thickBot="1" x14ac:dyDescent="0.25">
      <c r="A203" s="115"/>
      <c r="B203" s="116" t="s">
        <v>19</v>
      </c>
      <c r="C203" s="146" t="str">
        <f>I188</f>
        <v>0.000000 0.258819 0.000000 0.965926</v>
      </c>
      <c r="D203" s="60"/>
      <c r="E203" s="60"/>
      <c r="F203" s="117"/>
      <c r="G203" s="124"/>
      <c r="H203" s="125" t="s">
        <v>19</v>
      </c>
      <c r="I203" s="147" t="str">
        <f>N192</f>
        <v>0.000000 -0.939693 0.000000 -0.342020</v>
      </c>
      <c r="J203" s="126"/>
      <c r="K203" s="126"/>
      <c r="L203" s="127"/>
    </row>
    <row r="205" spans="1:19" x14ac:dyDescent="0.2">
      <c r="A205" s="82" t="s">
        <v>964</v>
      </c>
      <c r="B205" s="10"/>
      <c r="C205" s="10"/>
      <c r="D205" s="10"/>
      <c r="E205" s="10"/>
      <c r="F205" s="10"/>
      <c r="G205" s="10"/>
      <c r="H205" s="10"/>
      <c r="I205" s="10"/>
    </row>
    <row r="206" spans="1:19" x14ac:dyDescent="0.2">
      <c r="B206" s="45" t="s">
        <v>32</v>
      </c>
    </row>
    <row r="207" spans="1:19" x14ac:dyDescent="0.2">
      <c r="C207" s="12"/>
      <c r="L207" s="59"/>
      <c r="S207" s="77"/>
    </row>
    <row r="208" spans="1:19" hidden="1" x14ac:dyDescent="0.2">
      <c r="D208" s="1" t="s">
        <v>1214</v>
      </c>
      <c r="E208" s="1" t="s">
        <v>1215</v>
      </c>
      <c r="F208" s="1" t="s">
        <v>1216</v>
      </c>
      <c r="G208" s="1" t="s">
        <v>1217</v>
      </c>
      <c r="I208" s="53" t="s">
        <v>1221</v>
      </c>
      <c r="K208" s="1" t="s">
        <v>40</v>
      </c>
      <c r="L208" s="1" t="s">
        <v>41</v>
      </c>
      <c r="M208" s="1" t="s">
        <v>42</v>
      </c>
      <c r="O208" s="53" t="s">
        <v>1220</v>
      </c>
      <c r="P208" s="1" t="s">
        <v>207</v>
      </c>
    </row>
    <row r="209" spans="1:19" hidden="1" x14ac:dyDescent="0.2">
      <c r="B209" s="1" t="s">
        <v>945</v>
      </c>
      <c r="C209" s="19" t="s">
        <v>1212</v>
      </c>
      <c r="D209" s="19">
        <f>D187</f>
        <v>0.96592582628906831</v>
      </c>
      <c r="E209" s="19">
        <f>E187</f>
        <v>0.25881904510252074</v>
      </c>
      <c r="F209" s="19">
        <f>F187</f>
        <v>0</v>
      </c>
      <c r="G209" s="19">
        <f>G187</f>
        <v>0</v>
      </c>
      <c r="H209" s="19"/>
      <c r="I209" s="19">
        <f>SQRT(K209^2+L209^2+M209^2)</f>
        <v>87.155742747658152</v>
      </c>
      <c r="J209" s="19" t="s">
        <v>961</v>
      </c>
      <c r="K209" s="19">
        <f>K186</f>
        <v>-36.833608500734861</v>
      </c>
      <c r="L209" s="19">
        <f>L186</f>
        <v>0</v>
      </c>
      <c r="M209" s="19">
        <f>M186</f>
        <v>78.989928337165622</v>
      </c>
      <c r="N209" s="20" t="s">
        <v>34</v>
      </c>
      <c r="O209" s="1">
        <f>O185</f>
        <v>0.99619469809174555</v>
      </c>
      <c r="P209" s="1">
        <f>P185</f>
        <v>0.98480775301220802</v>
      </c>
    </row>
    <row r="210" spans="1:19" hidden="1" x14ac:dyDescent="0.2">
      <c r="B210" s="1"/>
      <c r="C210" s="19" t="s">
        <v>1213</v>
      </c>
      <c r="D210" s="19">
        <f>D186</f>
        <v>0.99619469809174555</v>
      </c>
      <c r="E210" s="19">
        <f>E186</f>
        <v>8.7155742747658166E-2</v>
      </c>
      <c r="F210" s="19">
        <f>F186</f>
        <v>0</v>
      </c>
      <c r="G210" s="19">
        <f>G186</f>
        <v>0</v>
      </c>
      <c r="H210" s="19"/>
      <c r="I210" s="19">
        <f>SQRT(K210^2+L210^2+M210^2)</f>
        <v>87.155742747658152</v>
      </c>
      <c r="J210" s="19" t="s">
        <v>950</v>
      </c>
      <c r="K210" s="19">
        <f>P209*K209-P210*M209</f>
        <v>-49.9904803327303</v>
      </c>
      <c r="L210" s="19">
        <f>L209</f>
        <v>0</v>
      </c>
      <c r="M210" s="1">
        <f>P210*K209+P209*M209</f>
        <v>71.393804843269649</v>
      </c>
      <c r="N210" s="20" t="s">
        <v>35</v>
      </c>
      <c r="O210" s="1">
        <f>O186</f>
        <v>8.7155742747658166E-2</v>
      </c>
      <c r="P210" s="1">
        <f>P186</f>
        <v>0.17364817766693033</v>
      </c>
    </row>
    <row r="211" spans="1:19" hidden="1" x14ac:dyDescent="0.2">
      <c r="B211" s="1"/>
      <c r="C211" s="19" t="s">
        <v>1218</v>
      </c>
      <c r="D211" s="19">
        <f>D210*D209-E210*E209-F210*F209-G210*G209</f>
        <v>0.93969262078590843</v>
      </c>
      <c r="E211" s="19">
        <f>D210*E209+E210*D209+F210*G209-G210*F209</f>
        <v>0.34202014332566871</v>
      </c>
      <c r="F211" s="19">
        <f>D210*F209-E210*G209+F210*D209+G210*E209</f>
        <v>0</v>
      </c>
      <c r="G211" s="19">
        <f>D210*G209+E210*F209-F210*E209+G210*D209</f>
        <v>0</v>
      </c>
      <c r="H211" s="19"/>
      <c r="I211" s="19"/>
      <c r="J211" s="19"/>
      <c r="K211" s="19"/>
      <c r="L211" s="19"/>
    </row>
    <row r="212" spans="1:19" hidden="1" x14ac:dyDescent="0.2">
      <c r="B212" s="1"/>
      <c r="C212" s="19" t="s">
        <v>848</v>
      </c>
      <c r="D212" s="19">
        <f>F211</f>
        <v>0</v>
      </c>
      <c r="E212" s="19">
        <f>E211</f>
        <v>0.34202014332566871</v>
      </c>
      <c r="F212" s="19">
        <f>G211</f>
        <v>0</v>
      </c>
      <c r="G212" s="19">
        <f>D211</f>
        <v>0.93969262078590843</v>
      </c>
      <c r="H212" s="19" t="s">
        <v>878</v>
      </c>
      <c r="I212" s="19" t="str">
        <f>CONCATENATE(TEXT(D212,"0.000000")," ",TEXT(E212,"0.000000")," ",TEXT(F212,"0.000000")," ",TEXT(G212,"0.000000"))</f>
        <v>0.000000 0.342020 0.000000 0.939693</v>
      </c>
      <c r="J212" s="19"/>
      <c r="K212" s="19"/>
      <c r="L212" s="19"/>
      <c r="M212" s="1" t="s">
        <v>1188</v>
      </c>
      <c r="N212" s="1" t="str">
        <f>CONCATENATE(TEXT(-F212,"0.000000")," ",TEXT(-G212,"0.000000")," ",TEXT(D212,"0.000000")," ",TEXT(E212,"0.000000"))</f>
        <v>0.000000 -0.939693 0.000000 0.342020</v>
      </c>
    </row>
    <row r="213" spans="1:19" hidden="1" x14ac:dyDescent="0.2">
      <c r="B213" s="1" t="s">
        <v>946</v>
      </c>
      <c r="C213" s="19" t="s">
        <v>1212</v>
      </c>
      <c r="D213" s="19">
        <f>D191</f>
        <v>0.93969262078590843</v>
      </c>
      <c r="E213" s="19">
        <f>E191</f>
        <v>-0.34202014332566871</v>
      </c>
      <c r="F213" s="19">
        <f>F191</f>
        <v>0</v>
      </c>
      <c r="G213" s="19">
        <f>G191</f>
        <v>0</v>
      </c>
      <c r="H213" s="19"/>
      <c r="I213" s="19">
        <f>SQRT(K213^2+L213^2+M213^2)</f>
        <v>87.155742747658152</v>
      </c>
      <c r="J213" s="19" t="s">
        <v>947</v>
      </c>
      <c r="K213" s="19">
        <f>K190</f>
        <v>49.9904803327303</v>
      </c>
      <c r="L213" s="19">
        <f>L190</f>
        <v>0</v>
      </c>
      <c r="M213" s="19">
        <f>M190</f>
        <v>71.393804843269649</v>
      </c>
      <c r="N213" s="20"/>
      <c r="O213" s="1"/>
    </row>
    <row r="214" spans="1:19" hidden="1" x14ac:dyDescent="0.2">
      <c r="B214" s="1"/>
      <c r="C214" s="19" t="s">
        <v>952</v>
      </c>
      <c r="D214" s="19">
        <f>D190</f>
        <v>0.99619469809174555</v>
      </c>
      <c r="E214" s="19">
        <f>E190</f>
        <v>-8.7155742747658166E-2</v>
      </c>
      <c r="F214" s="19">
        <f>F190</f>
        <v>0</v>
      </c>
      <c r="G214" s="19">
        <f>G190</f>
        <v>0</v>
      </c>
      <c r="H214" s="19"/>
      <c r="I214" s="19">
        <f>SQRT(K214^2+L214^2+M214^2)</f>
        <v>87.155742747658152</v>
      </c>
      <c r="J214" s="19" t="s">
        <v>951</v>
      </c>
      <c r="K214" s="19">
        <f>P209*K213+P210*M213</f>
        <v>61.628416716219341</v>
      </c>
      <c r="L214" s="19">
        <f>L213</f>
        <v>0</v>
      </c>
      <c r="M214" s="1">
        <f>-P210*K213+P209*M213</f>
        <v>61.628416716219341</v>
      </c>
      <c r="N214" s="20"/>
      <c r="O214" s="1"/>
    </row>
    <row r="215" spans="1:19" hidden="1" x14ac:dyDescent="0.2">
      <c r="B215" s="1"/>
      <c r="C215" s="19" t="s">
        <v>1218</v>
      </c>
      <c r="D215" s="19">
        <f>D214*D213-E214*E213-F214*F213-G214*G213</f>
        <v>0.90630778703665005</v>
      </c>
      <c r="E215" s="19">
        <f>D214*E213+E214*D213+F214*G213-G214*F213</f>
        <v>-0.42261826174069939</v>
      </c>
      <c r="F215" s="19">
        <f>D214*F213-E214*G213+F214*D213+G214*E213</f>
        <v>0</v>
      </c>
      <c r="G215" s="19">
        <f>D214*G213+E214*F213-F214*E213+G214*D213</f>
        <v>0</v>
      </c>
      <c r="H215" s="19"/>
      <c r="I215" s="19"/>
      <c r="J215" s="19"/>
      <c r="K215" s="19"/>
      <c r="L215" s="19"/>
    </row>
    <row r="216" spans="1:19" hidden="1" x14ac:dyDescent="0.2">
      <c r="B216" s="1"/>
      <c r="C216" s="19" t="s">
        <v>848</v>
      </c>
      <c r="D216" s="19">
        <f>F215</f>
        <v>0</v>
      </c>
      <c r="E216" s="19">
        <f>E215</f>
        <v>-0.42261826174069939</v>
      </c>
      <c r="F216" s="19">
        <f>G215</f>
        <v>0</v>
      </c>
      <c r="G216" s="19">
        <f>D215</f>
        <v>0.90630778703665005</v>
      </c>
      <c r="H216" s="19" t="s">
        <v>878</v>
      </c>
      <c r="I216" s="19" t="str">
        <f>CONCATENATE(TEXT(D216,"0.000000")," ",TEXT(E216,"0.000000")," ",TEXT(F216,"0.000000")," ",TEXT(G216,"0.000000"))</f>
        <v>0.000000 -0.422618 0.000000 0.906308</v>
      </c>
      <c r="J216" s="19"/>
      <c r="K216" s="19"/>
      <c r="L216" s="19"/>
      <c r="M216" s="1" t="s">
        <v>1188</v>
      </c>
      <c r="N216" s="1" t="str">
        <f>CONCATENATE(TEXT(-F216,"0.000000")," ",TEXT(-G216,"0.000000")," ",TEXT(D216,"0.000000")," ",TEXT(E216,"0.000000"))</f>
        <v>0.000000 -0.906308 0.000000 -0.422618</v>
      </c>
    </row>
    <row r="217" spans="1:19" hidden="1" x14ac:dyDescent="0.2">
      <c r="A217" s="54"/>
      <c r="B217" s="1"/>
      <c r="C217" s="1"/>
      <c r="D217" s="1"/>
      <c r="E217" s="1"/>
      <c r="F217" s="1"/>
      <c r="G217" s="1"/>
      <c r="H217" s="1" t="s">
        <v>31</v>
      </c>
      <c r="I217" s="1"/>
      <c r="J217" s="1"/>
      <c r="K217" s="1" t="s">
        <v>14</v>
      </c>
      <c r="L217" s="1" t="s">
        <v>15</v>
      </c>
      <c r="M217" s="1" t="s">
        <v>16</v>
      </c>
      <c r="N217" s="1" t="s">
        <v>17</v>
      </c>
      <c r="O217" s="1" t="s">
        <v>18</v>
      </c>
    </row>
    <row r="218" spans="1:19" hidden="1" x14ac:dyDescent="0.2">
      <c r="B218" s="1"/>
      <c r="C218" s="1"/>
      <c r="D218" s="1"/>
      <c r="E218" s="1"/>
      <c r="F218" s="1"/>
      <c r="G218" s="1"/>
      <c r="H218" s="1">
        <f>H194</f>
        <v>0</v>
      </c>
      <c r="I218" s="1"/>
      <c r="J218" s="1" t="s">
        <v>945</v>
      </c>
      <c r="K218" s="1">
        <f>IF(ABS(K194+K210)&lt;=1024,K194+K210,IF(K194+K210&gt;1024,K194+K210-2048,K194+K210+2048))</f>
        <v>-238.17677844051099</v>
      </c>
      <c r="L218" s="1">
        <f>L194+L210</f>
        <v>1</v>
      </c>
      <c r="M218" s="1">
        <f>IF(ABS(M194+M210)&lt;=1024,M194+M210,IF(M194+M210&gt;1024,M194+M210-2048,M194+M210+2048))</f>
        <v>-982.08419515673017</v>
      </c>
      <c r="N218" s="1">
        <f>IF(ABS(K194+K210)&lt;=1024,N194,IF(K194+K210&gt;1024,N194+1,N194-1))</f>
        <v>-12925</v>
      </c>
      <c r="O218" s="1">
        <f>IF(ABS(M194+M210)&lt;=1024,O194,IF(M194+M210&gt;1024,O194+1,O194-1))</f>
        <v>14197</v>
      </c>
    </row>
    <row r="219" spans="1:19" hidden="1" x14ac:dyDescent="0.2">
      <c r="B219" s="1"/>
      <c r="C219" s="1"/>
      <c r="D219" s="1"/>
      <c r="E219" s="1"/>
      <c r="F219" s="1"/>
      <c r="G219" s="1"/>
      <c r="H219" s="1"/>
      <c r="I219" s="1"/>
      <c r="J219" s="1" t="s">
        <v>946</v>
      </c>
      <c r="K219" s="1">
        <f>IF(ABS(K195+K214)&lt;=1024,K195+K214,IF(K195+K214&gt;1024,K195+K214-2048,K195+K214+2048))</f>
        <v>57.40719515673031</v>
      </c>
      <c r="L219" s="1">
        <f>L195+L214</f>
        <v>1</v>
      </c>
      <c r="M219" s="1">
        <f>IF(ABS(M195+M214)&lt;=1024,M195+M214,IF(M195+M214&gt;1024,M195+M214-2048,M195+M214+2048))</f>
        <v>-920.45577844051081</v>
      </c>
      <c r="N219" s="1">
        <f>IF(ABS(K195+K214)&lt;=1024,N195,IF(K195+K214&gt;1024,N195+1,N195-1))</f>
        <v>-12925</v>
      </c>
      <c r="O219" s="1">
        <f>IF(ABS(M195+M214)&lt;=1024,O195,IF(M195+M214&gt;1024,O195+1,O195-1))</f>
        <v>14197</v>
      </c>
    </row>
    <row r="220" spans="1:19" hidden="1" x14ac:dyDescent="0.2"/>
    <row r="221" spans="1:19" x14ac:dyDescent="0.2">
      <c r="A221" s="25" t="s">
        <v>1226</v>
      </c>
      <c r="H221" s="1"/>
      <c r="K221" s="1"/>
      <c r="L221" s="77"/>
      <c r="M221" s="1"/>
      <c r="N221" s="1"/>
      <c r="O221" s="1"/>
      <c r="P221" s="1"/>
      <c r="Q221" s="1"/>
      <c r="S221" s="77"/>
    </row>
    <row r="222" spans="1:19" x14ac:dyDescent="0.2">
      <c r="A222" s="54"/>
      <c r="C222" s="26" t="str">
        <f>T(IF(ABS(C224-C200)+ABS(E224-E200)&lt;&gt;0,"WARNING:  TILE CHANGE -&gt; other world tile file!",""))</f>
        <v>WARNING:  TILE CHANGE -&gt; other world tile file!</v>
      </c>
      <c r="H222" s="1"/>
      <c r="I222" s="26" t="str">
        <f>T(IF(ABS(I224-I200)+ABS(K224-K200)&lt;&gt;0,"WARNING:  TILE CHANGE -&gt; other world tile file!",""))</f>
        <v/>
      </c>
      <c r="J222" s="1"/>
      <c r="K222" s="1"/>
      <c r="L222" s="1"/>
      <c r="M222" s="1"/>
      <c r="N222" s="1"/>
      <c r="O222" s="1"/>
      <c r="P222" s="1"/>
      <c r="Q222" s="1"/>
    </row>
    <row r="223" spans="1:19" ht="13.5" thickBot="1" x14ac:dyDescent="0.25">
      <c r="B223" s="33" t="s">
        <v>416</v>
      </c>
      <c r="H223" s="1"/>
      <c r="I223" s="26"/>
      <c r="J223" s="1"/>
      <c r="K223" s="1"/>
      <c r="L223" s="1"/>
      <c r="M223" s="1"/>
      <c r="N223" s="1"/>
      <c r="O223" s="1"/>
      <c r="P223" s="1"/>
      <c r="Q223" s="1"/>
    </row>
    <row r="224" spans="1:19" x14ac:dyDescent="0.2">
      <c r="A224" s="109" t="s">
        <v>962</v>
      </c>
      <c r="B224" s="110" t="s">
        <v>28</v>
      </c>
      <c r="C224" s="143">
        <f>N218</f>
        <v>-12925</v>
      </c>
      <c r="D224" s="110" t="s">
        <v>27</v>
      </c>
      <c r="E224" s="143">
        <f>O218</f>
        <v>14197</v>
      </c>
      <c r="F224" s="111"/>
      <c r="G224" s="128" t="s">
        <v>953</v>
      </c>
      <c r="H224" s="118" t="s">
        <v>28</v>
      </c>
      <c r="I224" s="143">
        <f>N219</f>
        <v>-12925</v>
      </c>
      <c r="J224" s="118" t="s">
        <v>27</v>
      </c>
      <c r="K224" s="143">
        <f>O219</f>
        <v>14197</v>
      </c>
      <c r="L224" s="119"/>
    </row>
    <row r="225" spans="1:19" x14ac:dyDescent="0.2">
      <c r="A225" s="112"/>
      <c r="B225" s="114" t="s">
        <v>29</v>
      </c>
      <c r="C225" s="144">
        <f>H218</f>
        <v>0</v>
      </c>
      <c r="D225" s="61"/>
      <c r="E225" s="61"/>
      <c r="F225" s="113"/>
      <c r="G225" s="120"/>
      <c r="H225" s="121" t="s">
        <v>29</v>
      </c>
      <c r="I225" s="144">
        <f>-H218</f>
        <v>0</v>
      </c>
      <c r="J225" s="122"/>
      <c r="K225" s="122"/>
      <c r="L225" s="123"/>
    </row>
    <row r="226" spans="1:19" x14ac:dyDescent="0.2">
      <c r="A226" s="112"/>
      <c r="B226" s="114" t="s">
        <v>26</v>
      </c>
      <c r="C226" s="145" t="str">
        <f>CONCATENATE(TEXT(K218,"0.000")," ",TEXT(L218,"0.000")," ",TEXT(M218,"0.000"))</f>
        <v>-238.177 1.000 -982.084</v>
      </c>
      <c r="D226" s="61"/>
      <c r="E226" s="61"/>
      <c r="F226" s="113"/>
      <c r="G226" s="120"/>
      <c r="H226" s="121" t="s">
        <v>26</v>
      </c>
      <c r="I226" s="145" t="str">
        <f>CONCATENATE(TEXT(K219,"0.000")," ",TEXT(L219,"0.000")," ",TEXT(M219,"0.000"))</f>
        <v>57.407 1.000 -920.456</v>
      </c>
      <c r="J226" s="122"/>
      <c r="K226" s="122"/>
      <c r="L226" s="123"/>
    </row>
    <row r="227" spans="1:19" ht="13.5" thickBot="1" x14ac:dyDescent="0.25">
      <c r="A227" s="115"/>
      <c r="B227" s="116" t="s">
        <v>19</v>
      </c>
      <c r="C227" s="146" t="str">
        <f>I212</f>
        <v>0.000000 0.342020 0.000000 0.939693</v>
      </c>
      <c r="D227" s="60"/>
      <c r="E227" s="60"/>
      <c r="F227" s="117"/>
      <c r="G227" s="124"/>
      <c r="H227" s="125" t="s">
        <v>19</v>
      </c>
      <c r="I227" s="147" t="str">
        <f>N216</f>
        <v>0.000000 -0.906308 0.000000 -0.422618</v>
      </c>
      <c r="J227" s="126"/>
      <c r="K227" s="126"/>
      <c r="L227" s="127"/>
    </row>
    <row r="229" spans="1:19" x14ac:dyDescent="0.2">
      <c r="A229" s="82" t="s">
        <v>964</v>
      </c>
      <c r="B229" s="10"/>
      <c r="C229" s="10"/>
      <c r="D229" s="10"/>
      <c r="E229" s="10"/>
      <c r="F229" s="10"/>
      <c r="G229" s="10"/>
      <c r="H229" s="10"/>
      <c r="I229" s="10"/>
    </row>
    <row r="230" spans="1:19" x14ac:dyDescent="0.2">
      <c r="B230" s="45" t="s">
        <v>32</v>
      </c>
    </row>
    <row r="231" spans="1:19" x14ac:dyDescent="0.2">
      <c r="C231" s="12"/>
      <c r="L231" s="59"/>
      <c r="S231" s="77"/>
    </row>
    <row r="232" spans="1:19" hidden="1" x14ac:dyDescent="0.2">
      <c r="D232" s="1" t="s">
        <v>1214</v>
      </c>
      <c r="E232" s="1" t="s">
        <v>1215</v>
      </c>
      <c r="F232" s="1" t="s">
        <v>1216</v>
      </c>
      <c r="G232" s="1" t="s">
        <v>1217</v>
      </c>
      <c r="I232" s="53" t="s">
        <v>1221</v>
      </c>
      <c r="K232" s="1" t="s">
        <v>40</v>
      </c>
      <c r="L232" s="1" t="s">
        <v>41</v>
      </c>
      <c r="M232" s="1" t="s">
        <v>42</v>
      </c>
      <c r="O232" s="53" t="s">
        <v>1220</v>
      </c>
      <c r="P232" s="1" t="s">
        <v>207</v>
      </c>
    </row>
    <row r="233" spans="1:19" hidden="1" x14ac:dyDescent="0.2">
      <c r="B233" s="1" t="s">
        <v>945</v>
      </c>
      <c r="C233" s="19" t="s">
        <v>1212</v>
      </c>
      <c r="D233" s="19">
        <f>D211</f>
        <v>0.93969262078590843</v>
      </c>
      <c r="E233" s="19">
        <f>E211</f>
        <v>0.34202014332566871</v>
      </c>
      <c r="F233" s="19">
        <f>F211</f>
        <v>0</v>
      </c>
      <c r="G233" s="19">
        <f>G211</f>
        <v>0</v>
      </c>
      <c r="H233" s="19"/>
      <c r="I233" s="19">
        <f>SQRT(K233^2+L233^2+M233^2)</f>
        <v>87.155742747658152</v>
      </c>
      <c r="J233" s="19" t="s">
        <v>961</v>
      </c>
      <c r="K233" s="19">
        <f>K210</f>
        <v>-49.9904803327303</v>
      </c>
      <c r="L233" s="19">
        <f>L210</f>
        <v>0</v>
      </c>
      <c r="M233" s="19">
        <f>M210</f>
        <v>71.393804843269649</v>
      </c>
      <c r="N233" s="20" t="s">
        <v>34</v>
      </c>
      <c r="O233" s="1">
        <f>O209</f>
        <v>0.99619469809174555</v>
      </c>
      <c r="P233" s="1">
        <f>P209</f>
        <v>0.98480775301220802</v>
      </c>
    </row>
    <row r="234" spans="1:19" hidden="1" x14ac:dyDescent="0.2">
      <c r="B234" s="1"/>
      <c r="C234" s="19" t="s">
        <v>1213</v>
      </c>
      <c r="D234" s="19">
        <f>D210</f>
        <v>0.99619469809174555</v>
      </c>
      <c r="E234" s="19">
        <f>E210</f>
        <v>8.7155742747658166E-2</v>
      </c>
      <c r="F234" s="19">
        <f>F210</f>
        <v>0</v>
      </c>
      <c r="G234" s="19">
        <f>G210</f>
        <v>0</v>
      </c>
      <c r="H234" s="19"/>
      <c r="I234" s="19">
        <f>SQRT(K234^2+L234^2+M234^2)</f>
        <v>87.155742747658152</v>
      </c>
      <c r="J234" s="19" t="s">
        <v>950</v>
      </c>
      <c r="K234" s="19">
        <f>P233*K233-P234*M233</f>
        <v>-61.628416716219341</v>
      </c>
      <c r="L234" s="19">
        <f>L233</f>
        <v>0</v>
      </c>
      <c r="M234" s="1">
        <f>P234*K233+P233*M233</f>
        <v>61.628416716219341</v>
      </c>
      <c r="N234" s="20" t="s">
        <v>35</v>
      </c>
      <c r="O234" s="1">
        <f>O210</f>
        <v>8.7155742747658166E-2</v>
      </c>
      <c r="P234" s="1">
        <f>P210</f>
        <v>0.17364817766693033</v>
      </c>
    </row>
    <row r="235" spans="1:19" hidden="1" x14ac:dyDescent="0.2">
      <c r="B235" s="1"/>
      <c r="C235" s="19" t="s">
        <v>1218</v>
      </c>
      <c r="D235" s="19">
        <f>D234*D233-E234*E233-F234*F233-G234*G233</f>
        <v>0.90630778703665005</v>
      </c>
      <c r="E235" s="19">
        <f>D234*E233+E234*D233+F234*G233-G234*F233</f>
        <v>0.42261826174069939</v>
      </c>
      <c r="F235" s="19">
        <f>D234*F233-E234*G233+F234*D233+G234*E233</f>
        <v>0</v>
      </c>
      <c r="G235" s="19">
        <f>D234*G233+E234*F233-F234*E233+G234*D233</f>
        <v>0</v>
      </c>
      <c r="H235" s="19"/>
      <c r="I235" s="19"/>
      <c r="J235" s="19"/>
      <c r="K235" s="19"/>
      <c r="L235" s="19"/>
    </row>
    <row r="236" spans="1:19" hidden="1" x14ac:dyDescent="0.2">
      <c r="B236" s="1"/>
      <c r="C236" s="19" t="s">
        <v>848</v>
      </c>
      <c r="D236" s="19">
        <f>F235</f>
        <v>0</v>
      </c>
      <c r="E236" s="19">
        <f>E235</f>
        <v>0.42261826174069939</v>
      </c>
      <c r="F236" s="19">
        <f>G235</f>
        <v>0</v>
      </c>
      <c r="G236" s="19">
        <f>D235</f>
        <v>0.90630778703665005</v>
      </c>
      <c r="H236" s="19" t="s">
        <v>878</v>
      </c>
      <c r="I236" s="19" t="str">
        <f>CONCATENATE(TEXT(D236,"0.000000")," ",TEXT(E236,"0.000000")," ",TEXT(F236,"0.000000")," ",TEXT(G236,"0.000000"))</f>
        <v>0.000000 0.422618 0.000000 0.906308</v>
      </c>
      <c r="J236" s="19"/>
      <c r="K236" s="19"/>
      <c r="L236" s="19"/>
      <c r="M236" s="1" t="s">
        <v>1188</v>
      </c>
      <c r="N236" s="1" t="str">
        <f>CONCATENATE(TEXT(-F236,"0.000000")," ",TEXT(-G236,"0.000000")," ",TEXT(D236,"0.000000")," ",TEXT(E236,"0.000000"))</f>
        <v>0.000000 -0.906308 0.000000 0.422618</v>
      </c>
    </row>
    <row r="237" spans="1:19" hidden="1" x14ac:dyDescent="0.2">
      <c r="B237" s="1" t="s">
        <v>946</v>
      </c>
      <c r="C237" s="19" t="s">
        <v>1212</v>
      </c>
      <c r="D237" s="19">
        <f>D215</f>
        <v>0.90630778703665005</v>
      </c>
      <c r="E237" s="19">
        <f>E215</f>
        <v>-0.42261826174069939</v>
      </c>
      <c r="F237" s="19">
        <f>F215</f>
        <v>0</v>
      </c>
      <c r="G237" s="19">
        <f>G215</f>
        <v>0</v>
      </c>
      <c r="H237" s="19"/>
      <c r="I237" s="19">
        <f>SQRT(K237^2+L237^2+M237^2)</f>
        <v>87.155742747658152</v>
      </c>
      <c r="J237" s="19" t="s">
        <v>947</v>
      </c>
      <c r="K237" s="19">
        <f>K214</f>
        <v>61.628416716219341</v>
      </c>
      <c r="L237" s="19">
        <f>L214</f>
        <v>0</v>
      </c>
      <c r="M237" s="19">
        <f>M214</f>
        <v>61.628416716219341</v>
      </c>
      <c r="N237" s="20"/>
      <c r="O237" s="1"/>
    </row>
    <row r="238" spans="1:19" hidden="1" x14ac:dyDescent="0.2">
      <c r="B238" s="1"/>
      <c r="C238" s="19" t="s">
        <v>952</v>
      </c>
      <c r="D238" s="19">
        <f>D214</f>
        <v>0.99619469809174555</v>
      </c>
      <c r="E238" s="19">
        <f>E214</f>
        <v>-8.7155742747658166E-2</v>
      </c>
      <c r="F238" s="19">
        <f>F214</f>
        <v>0</v>
      </c>
      <c r="G238" s="19">
        <f>G214</f>
        <v>0</v>
      </c>
      <c r="H238" s="19"/>
      <c r="I238" s="19">
        <f>SQRT(K238^2+L238^2+M238^2)</f>
        <v>87.155742747658138</v>
      </c>
      <c r="J238" s="19" t="s">
        <v>951</v>
      </c>
      <c r="K238" s="19">
        <f>P233*K237+P234*M237</f>
        <v>71.393804843269635</v>
      </c>
      <c r="L238" s="19">
        <f>L237</f>
        <v>0</v>
      </c>
      <c r="M238" s="1">
        <f>-P234*K237+P233*M237</f>
        <v>49.990480332730293</v>
      </c>
      <c r="N238" s="20"/>
      <c r="O238" s="1"/>
    </row>
    <row r="239" spans="1:19" hidden="1" x14ac:dyDescent="0.2">
      <c r="B239" s="1"/>
      <c r="C239" s="19" t="s">
        <v>1218</v>
      </c>
      <c r="D239" s="19">
        <f>D238*D237-E238*E237-F238*F237-G238*G237</f>
        <v>0.86602540378443882</v>
      </c>
      <c r="E239" s="19">
        <f>D238*E237+E238*D237+F238*G237-G238*F237</f>
        <v>-0.49999999999999994</v>
      </c>
      <c r="F239" s="19">
        <f>D238*F237-E238*G237+F238*D237+G238*E237</f>
        <v>0</v>
      </c>
      <c r="G239" s="19">
        <f>D238*G237+E238*F237-F238*E237+G238*D237</f>
        <v>0</v>
      </c>
      <c r="H239" s="19"/>
      <c r="I239" s="19"/>
      <c r="J239" s="19"/>
      <c r="K239" s="19"/>
      <c r="L239" s="19"/>
    </row>
    <row r="240" spans="1:19" hidden="1" x14ac:dyDescent="0.2">
      <c r="B240" s="1"/>
      <c r="C240" s="19" t="s">
        <v>848</v>
      </c>
      <c r="D240" s="19">
        <f>F239</f>
        <v>0</v>
      </c>
      <c r="E240" s="19">
        <f>E239</f>
        <v>-0.49999999999999994</v>
      </c>
      <c r="F240" s="19">
        <f>G239</f>
        <v>0</v>
      </c>
      <c r="G240" s="19">
        <f>D239</f>
        <v>0.86602540378443882</v>
      </c>
      <c r="H240" s="19" t="s">
        <v>878</v>
      </c>
      <c r="I240" s="19" t="str">
        <f>CONCATENATE(TEXT(D240,"0.000000")," ",TEXT(E240,"0.000000")," ",TEXT(F240,"0.000000")," ",TEXT(G240,"0.000000"))</f>
        <v>0.000000 -0.500000 0.000000 0.866025</v>
      </c>
      <c r="J240" s="19"/>
      <c r="K240" s="19"/>
      <c r="L240" s="19"/>
      <c r="M240" s="1" t="s">
        <v>1188</v>
      </c>
      <c r="N240" s="1" t="str">
        <f>CONCATENATE(TEXT(-F240,"0.000000")," ",TEXT(-G240,"0.000000")," ",TEXT(D240,"0.000000")," ",TEXT(E240,"0.000000"))</f>
        <v>0.000000 -0.866025 0.000000 -0.500000</v>
      </c>
    </row>
    <row r="241" spans="1:19" hidden="1" x14ac:dyDescent="0.2">
      <c r="A241" s="54"/>
      <c r="B241" s="1"/>
      <c r="C241" s="1"/>
      <c r="D241" s="1"/>
      <c r="E241" s="1"/>
      <c r="F241" s="1"/>
      <c r="G241" s="1"/>
      <c r="H241" s="1" t="s">
        <v>31</v>
      </c>
      <c r="I241" s="1"/>
      <c r="J241" s="1"/>
      <c r="K241" s="1" t="s">
        <v>14</v>
      </c>
      <c r="L241" s="1" t="s">
        <v>15</v>
      </c>
      <c r="M241" s="1" t="s">
        <v>16</v>
      </c>
      <c r="N241" s="1" t="s">
        <v>17</v>
      </c>
      <c r="O241" s="1" t="s">
        <v>18</v>
      </c>
    </row>
    <row r="242" spans="1:19" hidden="1" x14ac:dyDescent="0.2">
      <c r="B242" s="1"/>
      <c r="C242" s="1"/>
      <c r="D242" s="1"/>
      <c r="E242" s="1"/>
      <c r="F242" s="1"/>
      <c r="G242" s="1"/>
      <c r="H242" s="1">
        <f>H218</f>
        <v>0</v>
      </c>
      <c r="I242" s="1"/>
      <c r="J242" s="1" t="s">
        <v>945</v>
      </c>
      <c r="K242" s="1">
        <f>IF(ABS(K218+K234)&lt;=1024,K218+K234,IF(K218+K234&gt;1024,K218+K234-2048,K218+K234+2048))</f>
        <v>-299.80519515673035</v>
      </c>
      <c r="L242" s="1">
        <f>L218+L234</f>
        <v>1</v>
      </c>
      <c r="M242" s="1">
        <f>IF(ABS(M218+M234)&lt;=1024,M218+M234,IF(M218+M234&gt;1024,M218+M234-2048,M218+M234+2048))</f>
        <v>-920.45577844051081</v>
      </c>
      <c r="N242" s="1">
        <f>IF(ABS(K218+K234)&lt;=1024,N218,IF(K218+K234&gt;1024,N218+1,N218-1))</f>
        <v>-12925</v>
      </c>
      <c r="O242" s="1">
        <f>IF(ABS(M218+M234)&lt;=1024,O218,IF(M218+M234&gt;1024,O218+1,O218-1))</f>
        <v>14197</v>
      </c>
    </row>
    <row r="243" spans="1:19" hidden="1" x14ac:dyDescent="0.2">
      <c r="B243" s="1"/>
      <c r="C243" s="1"/>
      <c r="D243" s="1"/>
      <c r="E243" s="1"/>
      <c r="F243" s="1"/>
      <c r="G243" s="1"/>
      <c r="H243" s="1"/>
      <c r="I243" s="1"/>
      <c r="J243" s="1" t="s">
        <v>946</v>
      </c>
      <c r="K243" s="1">
        <f>IF(ABS(K219+K238)&lt;=1024,K219+K238,IF(K219+K238&gt;1024,K219+K238-2048,K219+K238+2048))</f>
        <v>128.80099999999993</v>
      </c>
      <c r="L243" s="1">
        <f>L219+L238</f>
        <v>1</v>
      </c>
      <c r="M243" s="1">
        <f>IF(ABS(M219+M238)&lt;=1024,M219+M238,IF(M219+M238&gt;1024,M219+M238-2048,M219+M238+2048))</f>
        <v>-870.46529810778054</v>
      </c>
      <c r="N243" s="1">
        <f>IF(ABS(K219+K238)&lt;=1024,N219,IF(K219+K238&gt;1024,N219+1,N219-1))</f>
        <v>-12925</v>
      </c>
      <c r="O243" s="1">
        <f>IF(ABS(M219+M238)&lt;=1024,O219,IF(M219+M238&gt;1024,O219+1,O219-1))</f>
        <v>14197</v>
      </c>
    </row>
    <row r="244" spans="1:19" hidden="1" x14ac:dyDescent="0.2"/>
    <row r="245" spans="1:19" x14ac:dyDescent="0.2">
      <c r="A245" s="25" t="s">
        <v>1227</v>
      </c>
      <c r="H245" s="1"/>
      <c r="K245" s="1"/>
      <c r="L245" s="77"/>
      <c r="M245" s="1"/>
      <c r="N245" s="1"/>
      <c r="O245" s="1"/>
      <c r="P245" s="1"/>
      <c r="Q245" s="1"/>
      <c r="S245" s="77"/>
    </row>
    <row r="246" spans="1:19" x14ac:dyDescent="0.2">
      <c r="A246" s="54"/>
      <c r="C246" s="26" t="str">
        <f>T(IF(ABS(C248-C224)+ABS(E248-E224)&lt;&gt;0,"WARNING:  TILE CHANGE -&gt; other world tile file!",""))</f>
        <v/>
      </c>
      <c r="H246" s="1"/>
      <c r="I246" s="26" t="str">
        <f>T(IF(ABS(I248-I224)+ABS(K248-K224)&lt;&gt;0,"WARNING:  TILE CHANGE -&gt; other world tile file!",""))</f>
        <v/>
      </c>
      <c r="J246" s="1"/>
      <c r="K246" s="1"/>
      <c r="L246" s="1"/>
      <c r="M246" s="1"/>
      <c r="N246" s="1"/>
      <c r="O246" s="1"/>
      <c r="P246" s="1"/>
      <c r="Q246" s="1"/>
    </row>
    <row r="247" spans="1:19" ht="13.5" thickBot="1" x14ac:dyDescent="0.25">
      <c r="B247" s="33" t="s">
        <v>416</v>
      </c>
      <c r="H247" s="1"/>
      <c r="I247" s="26"/>
      <c r="J247" s="1"/>
      <c r="K247" s="1"/>
      <c r="L247" s="1"/>
      <c r="M247" s="1"/>
      <c r="N247" s="1"/>
      <c r="O247" s="1"/>
      <c r="P247" s="1"/>
      <c r="Q247" s="1"/>
    </row>
    <row r="248" spans="1:19" x14ac:dyDescent="0.2">
      <c r="A248" s="109" t="s">
        <v>962</v>
      </c>
      <c r="B248" s="110" t="s">
        <v>28</v>
      </c>
      <c r="C248" s="143">
        <f>N242</f>
        <v>-12925</v>
      </c>
      <c r="D248" s="110" t="s">
        <v>27</v>
      </c>
      <c r="E248" s="143">
        <f>O242</f>
        <v>14197</v>
      </c>
      <c r="F248" s="111"/>
      <c r="G248" s="128" t="s">
        <v>953</v>
      </c>
      <c r="H248" s="118" t="s">
        <v>28</v>
      </c>
      <c r="I248" s="143">
        <f>N243</f>
        <v>-12925</v>
      </c>
      <c r="J248" s="118" t="s">
        <v>27</v>
      </c>
      <c r="K248" s="143">
        <f>O243</f>
        <v>14197</v>
      </c>
      <c r="L248" s="119"/>
    </row>
    <row r="249" spans="1:19" x14ac:dyDescent="0.2">
      <c r="A249" s="112"/>
      <c r="B249" s="114" t="s">
        <v>29</v>
      </c>
      <c r="C249" s="144">
        <f>H242</f>
        <v>0</v>
      </c>
      <c r="D249" s="61"/>
      <c r="E249" s="61"/>
      <c r="F249" s="113"/>
      <c r="G249" s="120"/>
      <c r="H249" s="121" t="s">
        <v>29</v>
      </c>
      <c r="I249" s="144">
        <f>-H242</f>
        <v>0</v>
      </c>
      <c r="J249" s="122"/>
      <c r="K249" s="122"/>
      <c r="L249" s="123"/>
    </row>
    <row r="250" spans="1:19" x14ac:dyDescent="0.2">
      <c r="A250" s="112"/>
      <c r="B250" s="114" t="s">
        <v>26</v>
      </c>
      <c r="C250" s="145" t="str">
        <f>CONCATENATE(TEXT(K242,"0.000")," ",TEXT(L242,"0.000")," ",TEXT(M242,"0.000"))</f>
        <v>-299.805 1.000 -920.456</v>
      </c>
      <c r="D250" s="61"/>
      <c r="E250" s="61"/>
      <c r="F250" s="113"/>
      <c r="G250" s="120"/>
      <c r="H250" s="121" t="s">
        <v>26</v>
      </c>
      <c r="I250" s="145" t="str">
        <f>CONCATENATE(TEXT(K243,"0.000")," ",TEXT(L243,"0.000")," ",TEXT(M243,"0.000"))</f>
        <v>128.801 1.000 -870.465</v>
      </c>
      <c r="J250" s="122"/>
      <c r="K250" s="122"/>
      <c r="L250" s="123"/>
    </row>
    <row r="251" spans="1:19" ht="13.5" thickBot="1" x14ac:dyDescent="0.25">
      <c r="A251" s="115"/>
      <c r="B251" s="116" t="s">
        <v>19</v>
      </c>
      <c r="C251" s="146" t="str">
        <f>I236</f>
        <v>0.000000 0.422618 0.000000 0.906308</v>
      </c>
      <c r="D251" s="60"/>
      <c r="E251" s="60"/>
      <c r="F251" s="117"/>
      <c r="G251" s="124"/>
      <c r="H251" s="125" t="s">
        <v>19</v>
      </c>
      <c r="I251" s="147" t="str">
        <f>N240</f>
        <v>0.000000 -0.866025 0.000000 -0.500000</v>
      </c>
      <c r="J251" s="126"/>
      <c r="K251" s="126"/>
      <c r="L251" s="127"/>
    </row>
    <row r="253" spans="1:19" x14ac:dyDescent="0.2">
      <c r="A253" s="82" t="s">
        <v>964</v>
      </c>
      <c r="B253" s="10"/>
      <c r="C253" s="10"/>
      <c r="D253" s="10"/>
      <c r="E253" s="10"/>
      <c r="F253" s="10"/>
      <c r="G253" s="10"/>
      <c r="H253" s="10"/>
      <c r="I253" s="10"/>
    </row>
    <row r="254" spans="1:19" x14ac:dyDescent="0.2">
      <c r="B254" s="45" t="s">
        <v>32</v>
      </c>
    </row>
    <row r="255" spans="1:19" x14ac:dyDescent="0.2">
      <c r="C255" s="12"/>
      <c r="L255" s="59"/>
      <c r="S255" s="77"/>
    </row>
    <row r="256" spans="1:19" hidden="1" x14ac:dyDescent="0.2">
      <c r="D256" s="1" t="s">
        <v>1214</v>
      </c>
      <c r="E256" s="1" t="s">
        <v>1215</v>
      </c>
      <c r="F256" s="1" t="s">
        <v>1216</v>
      </c>
      <c r="G256" s="1" t="s">
        <v>1217</v>
      </c>
      <c r="I256" s="53" t="s">
        <v>1221</v>
      </c>
      <c r="K256" s="1" t="s">
        <v>40</v>
      </c>
      <c r="L256" s="1" t="s">
        <v>41</v>
      </c>
      <c r="M256" s="1" t="s">
        <v>42</v>
      </c>
      <c r="O256" s="53" t="s">
        <v>1220</v>
      </c>
      <c r="P256" s="1" t="s">
        <v>207</v>
      </c>
    </row>
    <row r="257" spans="1:19" hidden="1" x14ac:dyDescent="0.2">
      <c r="B257" s="1" t="s">
        <v>945</v>
      </c>
      <c r="C257" s="19" t="s">
        <v>1212</v>
      </c>
      <c r="D257" s="19">
        <f>D235</f>
        <v>0.90630778703665005</v>
      </c>
      <c r="E257" s="19">
        <f>E235</f>
        <v>0.42261826174069939</v>
      </c>
      <c r="F257" s="19">
        <f>F235</f>
        <v>0</v>
      </c>
      <c r="G257" s="19">
        <f>G235</f>
        <v>0</v>
      </c>
      <c r="H257" s="19"/>
      <c r="I257" s="19">
        <f>SQRT(K257^2+L257^2+M257^2)</f>
        <v>87.155742747658152</v>
      </c>
      <c r="J257" s="19" t="s">
        <v>961</v>
      </c>
      <c r="K257" s="19">
        <f>K234</f>
        <v>-61.628416716219341</v>
      </c>
      <c r="L257" s="19">
        <f>L234</f>
        <v>0</v>
      </c>
      <c r="M257" s="19">
        <f>M234</f>
        <v>61.628416716219341</v>
      </c>
      <c r="N257" s="20" t="s">
        <v>34</v>
      </c>
      <c r="O257" s="1">
        <f>O233</f>
        <v>0.99619469809174555</v>
      </c>
      <c r="P257" s="1">
        <f>P233</f>
        <v>0.98480775301220802</v>
      </c>
    </row>
    <row r="258" spans="1:19" hidden="1" x14ac:dyDescent="0.2">
      <c r="B258" s="1"/>
      <c r="C258" s="19" t="s">
        <v>1213</v>
      </c>
      <c r="D258" s="19">
        <f>D234</f>
        <v>0.99619469809174555</v>
      </c>
      <c r="E258" s="19">
        <f>E234</f>
        <v>8.7155742747658166E-2</v>
      </c>
      <c r="F258" s="19">
        <f>F234</f>
        <v>0</v>
      </c>
      <c r="G258" s="19">
        <f>G234</f>
        <v>0</v>
      </c>
      <c r="H258" s="19"/>
      <c r="I258" s="19">
        <f>SQRT(K258^2+L258^2+M258^2)</f>
        <v>87.155742747658138</v>
      </c>
      <c r="J258" s="19" t="s">
        <v>950</v>
      </c>
      <c r="K258" s="19">
        <f>P257*K257-P258*M257</f>
        <v>-71.393804843269635</v>
      </c>
      <c r="L258" s="19">
        <f>L257</f>
        <v>0</v>
      </c>
      <c r="M258" s="1">
        <f>P258*K257+P257*M257</f>
        <v>49.990480332730293</v>
      </c>
      <c r="N258" s="20" t="s">
        <v>35</v>
      </c>
      <c r="O258" s="1">
        <f>O234</f>
        <v>8.7155742747658166E-2</v>
      </c>
      <c r="P258" s="1">
        <f>P234</f>
        <v>0.17364817766693033</v>
      </c>
    </row>
    <row r="259" spans="1:19" hidden="1" x14ac:dyDescent="0.2">
      <c r="B259" s="1"/>
      <c r="C259" s="19" t="s">
        <v>1218</v>
      </c>
      <c r="D259" s="19">
        <f>D258*D257-E258*E257-F258*F257-G258*G257</f>
        <v>0.86602540378443882</v>
      </c>
      <c r="E259" s="19">
        <f>D258*E257+E258*D257+F258*G257-G258*F257</f>
        <v>0.49999999999999994</v>
      </c>
      <c r="F259" s="19">
        <f>D258*F257-E258*G257+F258*D257+G258*E257</f>
        <v>0</v>
      </c>
      <c r="G259" s="19">
        <f>D258*G257+E258*F257-F258*E257+G258*D257</f>
        <v>0</v>
      </c>
      <c r="H259" s="19"/>
      <c r="I259" s="19"/>
      <c r="J259" s="19"/>
      <c r="K259" s="19"/>
      <c r="L259" s="19"/>
    </row>
    <row r="260" spans="1:19" hidden="1" x14ac:dyDescent="0.2">
      <c r="B260" s="1"/>
      <c r="C260" s="19" t="s">
        <v>848</v>
      </c>
      <c r="D260" s="19">
        <f>F259</f>
        <v>0</v>
      </c>
      <c r="E260" s="19">
        <f>E259</f>
        <v>0.49999999999999994</v>
      </c>
      <c r="F260" s="19">
        <f>G259</f>
        <v>0</v>
      </c>
      <c r="G260" s="19">
        <f>D259</f>
        <v>0.86602540378443882</v>
      </c>
      <c r="H260" s="19" t="s">
        <v>878</v>
      </c>
      <c r="I260" s="19" t="str">
        <f>CONCATENATE(TEXT(D260,"0.000000")," ",TEXT(E260,"0.000000")," ",TEXT(F260,"0.000000")," ",TEXT(G260,"0.000000"))</f>
        <v>0.000000 0.500000 0.000000 0.866025</v>
      </c>
      <c r="J260" s="19"/>
      <c r="K260" s="19"/>
      <c r="L260" s="19"/>
      <c r="M260" s="1" t="s">
        <v>1188</v>
      </c>
      <c r="N260" s="1" t="str">
        <f>CONCATENATE(TEXT(-F260,"0.000000")," ",TEXT(-G260,"0.000000")," ",TEXT(D260,"0.000000")," ",TEXT(E260,"0.000000"))</f>
        <v>0.000000 -0.866025 0.000000 0.500000</v>
      </c>
    </row>
    <row r="261" spans="1:19" hidden="1" x14ac:dyDescent="0.2">
      <c r="B261" s="1" t="s">
        <v>946</v>
      </c>
      <c r="C261" s="19" t="s">
        <v>1212</v>
      </c>
      <c r="D261" s="19">
        <f>D239</f>
        <v>0.86602540378443882</v>
      </c>
      <c r="E261" s="19">
        <f>E239</f>
        <v>-0.49999999999999994</v>
      </c>
      <c r="F261" s="19">
        <f>F239</f>
        <v>0</v>
      </c>
      <c r="G261" s="19">
        <f>G239</f>
        <v>0</v>
      </c>
      <c r="H261" s="19"/>
      <c r="I261" s="19">
        <f>SQRT(K261^2+L261^2+M261^2)</f>
        <v>87.155742747658138</v>
      </c>
      <c r="J261" s="19" t="s">
        <v>947</v>
      </c>
      <c r="K261" s="19">
        <f>K238</f>
        <v>71.393804843269635</v>
      </c>
      <c r="L261" s="19">
        <f>L238</f>
        <v>0</v>
      </c>
      <c r="M261" s="19">
        <f>M238</f>
        <v>49.990480332730293</v>
      </c>
      <c r="N261" s="20"/>
      <c r="O261" s="1"/>
    </row>
    <row r="262" spans="1:19" hidden="1" x14ac:dyDescent="0.2">
      <c r="B262" s="1"/>
      <c r="C262" s="19" t="s">
        <v>952</v>
      </c>
      <c r="D262" s="19">
        <f>D238</f>
        <v>0.99619469809174555</v>
      </c>
      <c r="E262" s="19">
        <f>E238</f>
        <v>-8.7155742747658166E-2</v>
      </c>
      <c r="F262" s="19">
        <f>F238</f>
        <v>0</v>
      </c>
      <c r="G262" s="19">
        <f>G238</f>
        <v>0</v>
      </c>
      <c r="H262" s="19"/>
      <c r="I262" s="19">
        <f>SQRT(K262^2+L262^2+M262^2)</f>
        <v>87.155742747658138</v>
      </c>
      <c r="J262" s="19" t="s">
        <v>951</v>
      </c>
      <c r="K262" s="19">
        <f>P257*K261+P258*M261</f>
        <v>78.989928337165594</v>
      </c>
      <c r="L262" s="19">
        <f>L261</f>
        <v>0</v>
      </c>
      <c r="M262" s="1">
        <f>-P258*K261+P257*M261</f>
        <v>36.833608500734854</v>
      </c>
      <c r="N262" s="20"/>
      <c r="O262" s="1"/>
    </row>
    <row r="263" spans="1:19" hidden="1" x14ac:dyDescent="0.2">
      <c r="B263" s="1"/>
      <c r="C263" s="19" t="s">
        <v>1218</v>
      </c>
      <c r="D263" s="19">
        <f>D262*D261-E262*E261-F262*F261-G262*G261</f>
        <v>0.81915204428899202</v>
      </c>
      <c r="E263" s="19">
        <f>D262*E261+E262*D261+F262*G261-G262*F261</f>
        <v>-0.57357643635104605</v>
      </c>
      <c r="F263" s="19">
        <f>D262*F261-E262*G261+F262*D261+G262*E261</f>
        <v>0</v>
      </c>
      <c r="G263" s="19">
        <f>D262*G261+E262*F261-F262*E261+G262*D261</f>
        <v>0</v>
      </c>
      <c r="H263" s="19"/>
      <c r="I263" s="19"/>
      <c r="J263" s="19"/>
      <c r="K263" s="19"/>
      <c r="L263" s="19"/>
    </row>
    <row r="264" spans="1:19" hidden="1" x14ac:dyDescent="0.2">
      <c r="B264" s="1"/>
      <c r="C264" s="19" t="s">
        <v>848</v>
      </c>
      <c r="D264" s="19">
        <f>F263</f>
        <v>0</v>
      </c>
      <c r="E264" s="19">
        <f>E263</f>
        <v>-0.57357643635104605</v>
      </c>
      <c r="F264" s="19">
        <f>G263</f>
        <v>0</v>
      </c>
      <c r="G264" s="19">
        <f>D263</f>
        <v>0.81915204428899202</v>
      </c>
      <c r="H264" s="19" t="s">
        <v>878</v>
      </c>
      <c r="I264" s="19" t="str">
        <f>CONCATENATE(TEXT(D264,"0.000000")," ",TEXT(E264,"0.000000")," ",TEXT(F264,"0.000000")," ",TEXT(G264,"0.000000"))</f>
        <v>0.000000 -0.573576 0.000000 0.819152</v>
      </c>
      <c r="J264" s="19"/>
      <c r="K264" s="19"/>
      <c r="L264" s="19"/>
      <c r="M264" s="1" t="s">
        <v>1188</v>
      </c>
      <c r="N264" s="1" t="str">
        <f>CONCATENATE(TEXT(-F264,"0.000000")," ",TEXT(-G264,"0.000000")," ",TEXT(D264,"0.000000")," ",TEXT(E264,"0.000000"))</f>
        <v>0.000000 -0.819152 0.000000 -0.573576</v>
      </c>
    </row>
    <row r="265" spans="1:19" hidden="1" x14ac:dyDescent="0.2">
      <c r="A265" s="54"/>
      <c r="B265" s="1"/>
      <c r="C265" s="1"/>
      <c r="D265" s="1"/>
      <c r="E265" s="1"/>
      <c r="F265" s="1"/>
      <c r="G265" s="1"/>
      <c r="H265" s="1" t="s">
        <v>31</v>
      </c>
      <c r="I265" s="1"/>
      <c r="J265" s="1"/>
      <c r="K265" s="1" t="s">
        <v>14</v>
      </c>
      <c r="L265" s="1" t="s">
        <v>15</v>
      </c>
      <c r="M265" s="1" t="s">
        <v>16</v>
      </c>
      <c r="N265" s="1" t="s">
        <v>17</v>
      </c>
      <c r="O265" s="1" t="s">
        <v>18</v>
      </c>
    </row>
    <row r="266" spans="1:19" hidden="1" x14ac:dyDescent="0.2">
      <c r="B266" s="1"/>
      <c r="C266" s="1"/>
      <c r="D266" s="1"/>
      <c r="E266" s="1"/>
      <c r="F266" s="1"/>
      <c r="G266" s="1"/>
      <c r="H266" s="1">
        <f>H242</f>
        <v>0</v>
      </c>
      <c r="I266" s="1"/>
      <c r="J266" s="1" t="s">
        <v>945</v>
      </c>
      <c r="K266" s="1">
        <f>IF(ABS(K242+K258)&lt;=1024,K242+K258,IF(K242+K258&gt;1024,K242+K258-2048,K242+K258+2048))</f>
        <v>-371.19899999999996</v>
      </c>
      <c r="L266" s="1">
        <f>L242+L258</f>
        <v>1</v>
      </c>
      <c r="M266" s="1">
        <f>IF(ABS(M242+M258)&lt;=1024,M242+M258,IF(M242+M258&gt;1024,M242+M258-2048,M242+M258+2048))</f>
        <v>-870.46529810778054</v>
      </c>
      <c r="N266" s="1">
        <f>IF(ABS(K242+K258)&lt;=1024,N242,IF(K242+K258&gt;1024,N242+1,N242-1))</f>
        <v>-12925</v>
      </c>
      <c r="O266" s="1">
        <f>IF(ABS(M242+M258)&lt;=1024,O242,IF(M242+M258&gt;1024,O242+1,O242-1))</f>
        <v>14197</v>
      </c>
    </row>
    <row r="267" spans="1:19" hidden="1" x14ac:dyDescent="0.2">
      <c r="B267" s="1"/>
      <c r="C267" s="1"/>
      <c r="D267" s="1"/>
      <c r="E267" s="1"/>
      <c r="F267" s="1"/>
      <c r="G267" s="1"/>
      <c r="H267" s="1"/>
      <c r="I267" s="1"/>
      <c r="J267" s="1" t="s">
        <v>946</v>
      </c>
      <c r="K267" s="1">
        <f>IF(ABS(K243+K262)&lt;=1024,K243+K262,IF(K243+K262&gt;1024,K243+K262-2048,K243+K262+2048))</f>
        <v>207.79092833716552</v>
      </c>
      <c r="L267" s="1">
        <f>L243+L262</f>
        <v>1</v>
      </c>
      <c r="M267" s="1">
        <f>IF(ABS(M243+M262)&lt;=1024,M243+M262,IF(M243+M262&gt;1024,M243+M262-2048,M243+M262+2048))</f>
        <v>-833.6316896070457</v>
      </c>
      <c r="N267" s="1">
        <f>IF(ABS(K243+K262)&lt;=1024,N243,IF(K243+K262&gt;1024,N243+1,N243-1))</f>
        <v>-12925</v>
      </c>
      <c r="O267" s="1">
        <f>IF(ABS(M243+M262)&lt;=1024,O243,IF(M243+M262&gt;1024,O243+1,O243-1))</f>
        <v>14197</v>
      </c>
    </row>
    <row r="268" spans="1:19" hidden="1" x14ac:dyDescent="0.2"/>
    <row r="269" spans="1:19" x14ac:dyDescent="0.2">
      <c r="A269" s="25" t="s">
        <v>1228</v>
      </c>
      <c r="H269" s="1"/>
      <c r="K269" s="1"/>
      <c r="L269" s="77"/>
      <c r="M269" s="1"/>
      <c r="N269" s="1"/>
      <c r="O269" s="1"/>
      <c r="P269" s="1"/>
      <c r="Q269" s="1"/>
      <c r="S269" s="77"/>
    </row>
    <row r="270" spans="1:19" x14ac:dyDescent="0.2">
      <c r="A270" s="54"/>
      <c r="C270" s="26" t="str">
        <f>T(IF(ABS(C272-C248)+ABS(E272-E248)&lt;&gt;0,"WARNING:  TILE CHANGE -&gt; other world tile file!",""))</f>
        <v/>
      </c>
      <c r="H270" s="1"/>
      <c r="I270" s="26" t="str">
        <f>T(IF(ABS(I272-I248)+ABS(K272-K248)&lt;&gt;0,"WARNING:  TILE CHANGE -&gt; other world tile file!",""))</f>
        <v/>
      </c>
      <c r="J270" s="1"/>
      <c r="K270" s="1"/>
      <c r="L270" s="1"/>
      <c r="M270" s="1"/>
      <c r="N270" s="1"/>
      <c r="O270" s="1"/>
      <c r="P270" s="1"/>
      <c r="Q270" s="1"/>
    </row>
    <row r="271" spans="1:19" ht="13.5" thickBot="1" x14ac:dyDescent="0.25">
      <c r="B271" s="33" t="s">
        <v>416</v>
      </c>
      <c r="H271" s="1"/>
      <c r="I271" s="26"/>
      <c r="J271" s="1"/>
      <c r="K271" s="1"/>
      <c r="L271" s="1"/>
      <c r="M271" s="1"/>
      <c r="N271" s="1"/>
      <c r="O271" s="1"/>
      <c r="P271" s="1"/>
      <c r="Q271" s="1"/>
    </row>
    <row r="272" spans="1:19" x14ac:dyDescent="0.2">
      <c r="A272" s="109" t="s">
        <v>962</v>
      </c>
      <c r="B272" s="110" t="s">
        <v>28</v>
      </c>
      <c r="C272" s="143">
        <f>N266</f>
        <v>-12925</v>
      </c>
      <c r="D272" s="110" t="s">
        <v>27</v>
      </c>
      <c r="E272" s="143">
        <f>O266</f>
        <v>14197</v>
      </c>
      <c r="F272" s="111"/>
      <c r="G272" s="128" t="s">
        <v>953</v>
      </c>
      <c r="H272" s="118" t="s">
        <v>28</v>
      </c>
      <c r="I272" s="143">
        <f>N267</f>
        <v>-12925</v>
      </c>
      <c r="J272" s="118" t="s">
        <v>27</v>
      </c>
      <c r="K272" s="143">
        <f>O267</f>
        <v>14197</v>
      </c>
      <c r="L272" s="119"/>
    </row>
    <row r="273" spans="1:19" x14ac:dyDescent="0.2">
      <c r="A273" s="112"/>
      <c r="B273" s="114" t="s">
        <v>29</v>
      </c>
      <c r="C273" s="144">
        <f>H266</f>
        <v>0</v>
      </c>
      <c r="D273" s="61"/>
      <c r="E273" s="61"/>
      <c r="F273" s="113"/>
      <c r="G273" s="120"/>
      <c r="H273" s="121" t="s">
        <v>29</v>
      </c>
      <c r="I273" s="144">
        <f>-H266</f>
        <v>0</v>
      </c>
      <c r="J273" s="122"/>
      <c r="K273" s="122"/>
      <c r="L273" s="123"/>
    </row>
    <row r="274" spans="1:19" x14ac:dyDescent="0.2">
      <c r="A274" s="112"/>
      <c r="B274" s="114" t="s">
        <v>26</v>
      </c>
      <c r="C274" s="145" t="str">
        <f>CONCATENATE(TEXT(K266,"0.000")," ",TEXT(L266,"0.000")," ",TEXT(M266,"0.000"))</f>
        <v>-371.199 1.000 -870.465</v>
      </c>
      <c r="D274" s="61"/>
      <c r="E274" s="61"/>
      <c r="F274" s="113"/>
      <c r="G274" s="120"/>
      <c r="H274" s="121" t="s">
        <v>26</v>
      </c>
      <c r="I274" s="145" t="str">
        <f>CONCATENATE(TEXT(K267,"0.000")," ",TEXT(L267,"0.000")," ",TEXT(M267,"0.000"))</f>
        <v>207.791 1.000 -833.632</v>
      </c>
      <c r="J274" s="122"/>
      <c r="K274" s="122"/>
      <c r="L274" s="123"/>
    </row>
    <row r="275" spans="1:19" ht="13.5" thickBot="1" x14ac:dyDescent="0.25">
      <c r="A275" s="115"/>
      <c r="B275" s="116" t="s">
        <v>19</v>
      </c>
      <c r="C275" s="146" t="str">
        <f>I260</f>
        <v>0.000000 0.500000 0.000000 0.866025</v>
      </c>
      <c r="D275" s="60"/>
      <c r="E275" s="60"/>
      <c r="F275" s="117"/>
      <c r="G275" s="124"/>
      <c r="H275" s="125" t="s">
        <v>19</v>
      </c>
      <c r="I275" s="147" t="str">
        <f>N264</f>
        <v>0.000000 -0.819152 0.000000 -0.573576</v>
      </c>
      <c r="J275" s="126"/>
      <c r="K275" s="126"/>
      <c r="L275" s="127"/>
    </row>
    <row r="277" spans="1:19" x14ac:dyDescent="0.2">
      <c r="A277" s="82" t="s">
        <v>964</v>
      </c>
      <c r="B277" s="10"/>
      <c r="C277" s="10"/>
      <c r="D277" s="10"/>
      <c r="E277" s="10"/>
      <c r="F277" s="10"/>
      <c r="G277" s="10"/>
      <c r="H277" s="10"/>
      <c r="I277" s="10"/>
    </row>
    <row r="278" spans="1:19" x14ac:dyDescent="0.2">
      <c r="B278" s="45" t="s">
        <v>32</v>
      </c>
    </row>
    <row r="279" spans="1:19" x14ac:dyDescent="0.2">
      <c r="C279" s="12"/>
      <c r="L279" s="59"/>
      <c r="S279" s="77"/>
    </row>
    <row r="280" spans="1:19" hidden="1" x14ac:dyDescent="0.2">
      <c r="D280" s="1" t="s">
        <v>1214</v>
      </c>
      <c r="E280" s="1" t="s">
        <v>1215</v>
      </c>
      <c r="F280" s="1" t="s">
        <v>1216</v>
      </c>
      <c r="G280" s="1" t="s">
        <v>1217</v>
      </c>
      <c r="I280" s="53" t="s">
        <v>1221</v>
      </c>
      <c r="K280" s="1" t="s">
        <v>40</v>
      </c>
      <c r="L280" s="1" t="s">
        <v>41</v>
      </c>
      <c r="M280" s="1" t="s">
        <v>42</v>
      </c>
      <c r="O280" s="53" t="s">
        <v>1220</v>
      </c>
      <c r="P280" s="1" t="s">
        <v>207</v>
      </c>
    </row>
    <row r="281" spans="1:19" hidden="1" x14ac:dyDescent="0.2">
      <c r="B281" s="1" t="s">
        <v>945</v>
      </c>
      <c r="C281" s="19" t="s">
        <v>1212</v>
      </c>
      <c r="D281" s="19">
        <f>D259</f>
        <v>0.86602540378443882</v>
      </c>
      <c r="E281" s="19">
        <f>E259</f>
        <v>0.49999999999999994</v>
      </c>
      <c r="F281" s="19">
        <f>F259</f>
        <v>0</v>
      </c>
      <c r="G281" s="19">
        <f>G259</f>
        <v>0</v>
      </c>
      <c r="H281" s="19"/>
      <c r="I281" s="19">
        <f>SQRT(K281^2+L281^2+M281^2)</f>
        <v>87.155742747658138</v>
      </c>
      <c r="J281" s="19" t="s">
        <v>961</v>
      </c>
      <c r="K281" s="19">
        <f>K258</f>
        <v>-71.393804843269635</v>
      </c>
      <c r="L281" s="19">
        <f>L258</f>
        <v>0</v>
      </c>
      <c r="M281" s="19">
        <f>M258</f>
        <v>49.990480332730293</v>
      </c>
      <c r="N281" s="20" t="s">
        <v>34</v>
      </c>
      <c r="O281" s="1">
        <f>O257</f>
        <v>0.99619469809174555</v>
      </c>
      <c r="P281" s="1">
        <f>P257</f>
        <v>0.98480775301220802</v>
      </c>
    </row>
    <row r="282" spans="1:19" hidden="1" x14ac:dyDescent="0.2">
      <c r="B282" s="1"/>
      <c r="C282" s="19" t="s">
        <v>1213</v>
      </c>
      <c r="D282" s="19">
        <f>D258</f>
        <v>0.99619469809174555</v>
      </c>
      <c r="E282" s="19">
        <f>E258</f>
        <v>8.7155742747658166E-2</v>
      </c>
      <c r="F282" s="19">
        <f>F258</f>
        <v>0</v>
      </c>
      <c r="G282" s="19">
        <f>G258</f>
        <v>0</v>
      </c>
      <c r="H282" s="19"/>
      <c r="I282" s="19">
        <f>SQRT(K282^2+L282^2+M282^2)</f>
        <v>87.155742747658138</v>
      </c>
      <c r="J282" s="19" t="s">
        <v>950</v>
      </c>
      <c r="K282" s="19">
        <f>P281*K281-P282*M281</f>
        <v>-78.989928337165594</v>
      </c>
      <c r="L282" s="19">
        <f>L281</f>
        <v>0</v>
      </c>
      <c r="M282" s="1">
        <f>P282*K281+P281*M281</f>
        <v>36.833608500734854</v>
      </c>
      <c r="N282" s="20" t="s">
        <v>35</v>
      </c>
      <c r="O282" s="1">
        <f>O258</f>
        <v>8.7155742747658166E-2</v>
      </c>
      <c r="P282" s="1">
        <f>P258</f>
        <v>0.17364817766693033</v>
      </c>
    </row>
    <row r="283" spans="1:19" hidden="1" x14ac:dyDescent="0.2">
      <c r="B283" s="1"/>
      <c r="C283" s="19" t="s">
        <v>1218</v>
      </c>
      <c r="D283" s="19">
        <f>D282*D281-E282*E281-F282*F281-G282*G281</f>
        <v>0.81915204428899202</v>
      </c>
      <c r="E283" s="19">
        <f>D282*E281+E282*D281+F282*G281-G282*F281</f>
        <v>0.57357643635104605</v>
      </c>
      <c r="F283" s="19">
        <f>D282*F281-E282*G281+F282*D281+G282*E281</f>
        <v>0</v>
      </c>
      <c r="G283" s="19">
        <f>D282*G281+E282*F281-F282*E281+G282*D281</f>
        <v>0</v>
      </c>
      <c r="H283" s="19"/>
      <c r="I283" s="19"/>
      <c r="J283" s="19"/>
      <c r="K283" s="19"/>
      <c r="L283" s="19"/>
    </row>
    <row r="284" spans="1:19" hidden="1" x14ac:dyDescent="0.2">
      <c r="B284" s="1"/>
      <c r="C284" s="19" t="s">
        <v>848</v>
      </c>
      <c r="D284" s="19">
        <f>F283</f>
        <v>0</v>
      </c>
      <c r="E284" s="19">
        <f>E283</f>
        <v>0.57357643635104605</v>
      </c>
      <c r="F284" s="19">
        <f>G283</f>
        <v>0</v>
      </c>
      <c r="G284" s="19">
        <f>D283</f>
        <v>0.81915204428899202</v>
      </c>
      <c r="H284" s="19" t="s">
        <v>878</v>
      </c>
      <c r="I284" s="19" t="str">
        <f>CONCATENATE(TEXT(D284,"0.000000")," ",TEXT(E284,"0.000000")," ",TEXT(F284,"0.000000")," ",TEXT(G284,"0.000000"))</f>
        <v>0.000000 0.573576 0.000000 0.819152</v>
      </c>
      <c r="J284" s="19"/>
      <c r="K284" s="19"/>
      <c r="L284" s="19"/>
      <c r="M284" s="1" t="s">
        <v>1188</v>
      </c>
      <c r="N284" s="1" t="str">
        <f>CONCATENATE(TEXT(-F284,"0.000000")," ",TEXT(-G284,"0.000000")," ",TEXT(D284,"0.000000")," ",TEXT(E284,"0.000000"))</f>
        <v>0.000000 -0.819152 0.000000 0.573576</v>
      </c>
    </row>
    <row r="285" spans="1:19" hidden="1" x14ac:dyDescent="0.2">
      <c r="B285" s="1" t="s">
        <v>946</v>
      </c>
      <c r="C285" s="19" t="s">
        <v>1212</v>
      </c>
      <c r="D285" s="19">
        <f>D263</f>
        <v>0.81915204428899202</v>
      </c>
      <c r="E285" s="19">
        <f>E263</f>
        <v>-0.57357643635104605</v>
      </c>
      <c r="F285" s="19">
        <f>F263</f>
        <v>0</v>
      </c>
      <c r="G285" s="19">
        <f>G263</f>
        <v>0</v>
      </c>
      <c r="H285" s="19"/>
      <c r="I285" s="19">
        <f>SQRT(K285^2+L285^2+M285^2)</f>
        <v>87.155742747658138</v>
      </c>
      <c r="J285" s="19" t="s">
        <v>947</v>
      </c>
      <c r="K285" s="19">
        <f>K262</f>
        <v>78.989928337165594</v>
      </c>
      <c r="L285" s="19">
        <f>L262</f>
        <v>0</v>
      </c>
      <c r="M285" s="19">
        <f>M262</f>
        <v>36.833608500734854</v>
      </c>
      <c r="N285" s="20"/>
      <c r="O285" s="1"/>
    </row>
    <row r="286" spans="1:19" hidden="1" x14ac:dyDescent="0.2">
      <c r="B286" s="1"/>
      <c r="C286" s="19" t="s">
        <v>952</v>
      </c>
      <c r="D286" s="19">
        <f>D262</f>
        <v>0.99619469809174555</v>
      </c>
      <c r="E286" s="19">
        <f>E262</f>
        <v>-8.7155742747658166E-2</v>
      </c>
      <c r="F286" s="19">
        <f>F262</f>
        <v>0</v>
      </c>
      <c r="G286" s="19">
        <f>G262</f>
        <v>0</v>
      </c>
      <c r="H286" s="19"/>
      <c r="I286" s="19">
        <f>SQRT(K286^2+L286^2+M286^2)</f>
        <v>87.155742747658124</v>
      </c>
      <c r="J286" s="19" t="s">
        <v>951</v>
      </c>
      <c r="K286" s="19">
        <f>P281*K285+P282*M285</f>
        <v>84.185982829369138</v>
      </c>
      <c r="L286" s="19">
        <f>L285</f>
        <v>0</v>
      </c>
      <c r="M286" s="1">
        <f>-P282*K285+P281*M285</f>
        <v>22.557566113149832</v>
      </c>
      <c r="N286" s="20"/>
      <c r="O286" s="1"/>
    </row>
    <row r="287" spans="1:19" hidden="1" x14ac:dyDescent="0.2">
      <c r="B287" s="1"/>
      <c r="C287" s="19" t="s">
        <v>1218</v>
      </c>
      <c r="D287" s="19">
        <f>D286*D285-E286*E285-F286*F285-G286*G285</f>
        <v>0.76604444311897824</v>
      </c>
      <c r="E287" s="19">
        <f>D286*E285+E286*D285+F286*G285-G286*F285</f>
        <v>-0.64278760968653925</v>
      </c>
      <c r="F287" s="19">
        <f>D286*F285-E286*G285+F286*D285+G286*E285</f>
        <v>0</v>
      </c>
      <c r="G287" s="19">
        <f>D286*G285+E286*F285-F286*E285+G286*D285</f>
        <v>0</v>
      </c>
      <c r="H287" s="19"/>
      <c r="I287" s="19"/>
      <c r="J287" s="19"/>
      <c r="K287" s="19"/>
      <c r="L287" s="19"/>
    </row>
    <row r="288" spans="1:19" hidden="1" x14ac:dyDescent="0.2">
      <c r="B288" s="1"/>
      <c r="C288" s="19" t="s">
        <v>848</v>
      </c>
      <c r="D288" s="19">
        <f>F287</f>
        <v>0</v>
      </c>
      <c r="E288" s="19">
        <f>E287</f>
        <v>-0.64278760968653925</v>
      </c>
      <c r="F288" s="19">
        <f>G287</f>
        <v>0</v>
      </c>
      <c r="G288" s="19">
        <f>D287</f>
        <v>0.76604444311897824</v>
      </c>
      <c r="H288" s="19" t="s">
        <v>878</v>
      </c>
      <c r="I288" s="19" t="str">
        <f>CONCATENATE(TEXT(D288,"0.000000")," ",TEXT(E288,"0.000000")," ",TEXT(F288,"0.000000")," ",TEXT(G288,"0.000000"))</f>
        <v>0.000000 -0.642788 0.000000 0.766044</v>
      </c>
      <c r="J288" s="19"/>
      <c r="K288" s="19"/>
      <c r="L288" s="19"/>
      <c r="M288" s="1" t="s">
        <v>1188</v>
      </c>
      <c r="N288" s="1" t="str">
        <f>CONCATENATE(TEXT(-F288,"0.000000")," ",TEXT(-G288,"0.000000")," ",TEXT(D288,"0.000000")," ",TEXT(E288,"0.000000"))</f>
        <v>0.000000 -0.766044 0.000000 -0.642788</v>
      </c>
    </row>
    <row r="289" spans="1:19" hidden="1" x14ac:dyDescent="0.2">
      <c r="A289" s="54"/>
      <c r="B289" s="1"/>
      <c r="C289" s="1"/>
      <c r="D289" s="1"/>
      <c r="E289" s="1"/>
      <c r="F289" s="1"/>
      <c r="G289" s="1"/>
      <c r="H289" s="1" t="s">
        <v>31</v>
      </c>
      <c r="I289" s="1"/>
      <c r="J289" s="1"/>
      <c r="K289" s="1" t="s">
        <v>14</v>
      </c>
      <c r="L289" s="1" t="s">
        <v>15</v>
      </c>
      <c r="M289" s="1" t="s">
        <v>16</v>
      </c>
      <c r="N289" s="1" t="s">
        <v>17</v>
      </c>
      <c r="O289" s="1" t="s">
        <v>18</v>
      </c>
    </row>
    <row r="290" spans="1:19" hidden="1" x14ac:dyDescent="0.2">
      <c r="B290" s="1"/>
      <c r="C290" s="1"/>
      <c r="D290" s="1"/>
      <c r="E290" s="1"/>
      <c r="F290" s="1"/>
      <c r="G290" s="1"/>
      <c r="H290" s="1">
        <f>H266</f>
        <v>0</v>
      </c>
      <c r="I290" s="1"/>
      <c r="J290" s="1" t="s">
        <v>945</v>
      </c>
      <c r="K290" s="1">
        <f>IF(ABS(K266+K282)&lt;=1024,K266+K282,IF(K266+K282&gt;1024,K266+K282-2048,K266+K282+2048))</f>
        <v>-450.18892833716552</v>
      </c>
      <c r="L290" s="1">
        <f>L266+L282</f>
        <v>1</v>
      </c>
      <c r="M290" s="1">
        <f>IF(ABS(M266+M282)&lt;=1024,M266+M282,IF(M266+M282&gt;1024,M266+M282-2048,M266+M282+2048))</f>
        <v>-833.6316896070457</v>
      </c>
      <c r="N290" s="1">
        <f>IF(ABS(K266+K282)&lt;=1024,N266,IF(K266+K282&gt;1024,N266+1,N266-1))</f>
        <v>-12925</v>
      </c>
      <c r="O290" s="1">
        <f>IF(ABS(M266+M282)&lt;=1024,O266,IF(M266+M282&gt;1024,O266+1,O266-1))</f>
        <v>14197</v>
      </c>
    </row>
    <row r="291" spans="1:19" hidden="1" x14ac:dyDescent="0.2">
      <c r="B291" s="1"/>
      <c r="C291" s="1"/>
      <c r="D291" s="1"/>
      <c r="E291" s="1"/>
      <c r="F291" s="1"/>
      <c r="G291" s="1"/>
      <c r="H291" s="1"/>
      <c r="I291" s="1"/>
      <c r="J291" s="1" t="s">
        <v>946</v>
      </c>
      <c r="K291" s="1">
        <f>IF(ABS(K267+K286)&lt;=1024,K267+K286,IF(K267+K286&gt;1024,K267+K286-2048,K267+K286+2048))</f>
        <v>291.97691116653465</v>
      </c>
      <c r="L291" s="1">
        <f>L267+L286</f>
        <v>1</v>
      </c>
      <c r="M291" s="1">
        <f>IF(ABS(M267+M286)&lt;=1024,M267+M286,IF(M267+M286&gt;1024,M267+M286-2048,M267+M286+2048))</f>
        <v>-811.07412349389585</v>
      </c>
      <c r="N291" s="1">
        <f>IF(ABS(K267+K286)&lt;=1024,N267,IF(K267+K286&gt;1024,N267+1,N267-1))</f>
        <v>-12925</v>
      </c>
      <c r="O291" s="1">
        <f>IF(ABS(M267+M286)&lt;=1024,O267,IF(M267+M286&gt;1024,O267+1,O267-1))</f>
        <v>14197</v>
      </c>
    </row>
    <row r="292" spans="1:19" hidden="1" x14ac:dyDescent="0.2"/>
    <row r="293" spans="1:19" x14ac:dyDescent="0.2">
      <c r="A293" s="25" t="s">
        <v>1229</v>
      </c>
      <c r="H293" s="1"/>
      <c r="K293" s="1"/>
      <c r="L293" s="77"/>
      <c r="M293" s="1"/>
      <c r="N293" s="1"/>
      <c r="O293" s="1"/>
      <c r="P293" s="1"/>
      <c r="Q293" s="1"/>
      <c r="S293" s="77"/>
    </row>
    <row r="294" spans="1:19" x14ac:dyDescent="0.2">
      <c r="A294" s="54"/>
      <c r="C294" s="26" t="str">
        <f>T(IF(ABS(C296-C272)+ABS(E296-E272)&lt;&gt;0,"WARNING:  TILE CHANGE -&gt; other world tile file!",""))</f>
        <v/>
      </c>
      <c r="H294" s="1"/>
      <c r="I294" s="26" t="str">
        <f>T(IF(ABS(I296-I272)+ABS(K296-K272)&lt;&gt;0,"WARNING:  TILE CHANGE -&gt; other world tile file!",""))</f>
        <v/>
      </c>
      <c r="J294" s="1"/>
      <c r="K294" s="1"/>
      <c r="L294" s="1"/>
      <c r="M294" s="1"/>
      <c r="N294" s="1"/>
      <c r="O294" s="1"/>
      <c r="P294" s="1"/>
      <c r="Q294" s="1"/>
    </row>
    <row r="295" spans="1:19" ht="13.5" thickBot="1" x14ac:dyDescent="0.25">
      <c r="B295" s="33" t="s">
        <v>416</v>
      </c>
      <c r="H295" s="1"/>
      <c r="I295" s="26"/>
      <c r="J295" s="1"/>
      <c r="K295" s="1"/>
      <c r="L295" s="1"/>
      <c r="M295" s="1"/>
      <c r="N295" s="1"/>
      <c r="O295" s="1"/>
      <c r="P295" s="1"/>
      <c r="Q295" s="1"/>
    </row>
    <row r="296" spans="1:19" x14ac:dyDescent="0.2">
      <c r="A296" s="109" t="s">
        <v>962</v>
      </c>
      <c r="B296" s="110" t="s">
        <v>28</v>
      </c>
      <c r="C296" s="143">
        <f>N290</f>
        <v>-12925</v>
      </c>
      <c r="D296" s="110" t="s">
        <v>27</v>
      </c>
      <c r="E296" s="143">
        <f>O290</f>
        <v>14197</v>
      </c>
      <c r="F296" s="111"/>
      <c r="G296" s="128" t="s">
        <v>953</v>
      </c>
      <c r="H296" s="118" t="s">
        <v>28</v>
      </c>
      <c r="I296" s="143">
        <f>N291</f>
        <v>-12925</v>
      </c>
      <c r="J296" s="118" t="s">
        <v>27</v>
      </c>
      <c r="K296" s="143">
        <f>O291</f>
        <v>14197</v>
      </c>
      <c r="L296" s="119"/>
    </row>
    <row r="297" spans="1:19" x14ac:dyDescent="0.2">
      <c r="A297" s="112"/>
      <c r="B297" s="114" t="s">
        <v>29</v>
      </c>
      <c r="C297" s="144">
        <f>H290</f>
        <v>0</v>
      </c>
      <c r="D297" s="61"/>
      <c r="E297" s="61"/>
      <c r="F297" s="113"/>
      <c r="G297" s="120"/>
      <c r="H297" s="121" t="s">
        <v>29</v>
      </c>
      <c r="I297" s="144">
        <f>-H290</f>
        <v>0</v>
      </c>
      <c r="J297" s="122"/>
      <c r="K297" s="122"/>
      <c r="L297" s="123"/>
    </row>
    <row r="298" spans="1:19" x14ac:dyDescent="0.2">
      <c r="A298" s="112"/>
      <c r="B298" s="114" t="s">
        <v>26</v>
      </c>
      <c r="C298" s="145" t="str">
        <f>CONCATENATE(TEXT(K290,"0.000")," ",TEXT(L290,"0.000")," ",TEXT(M290,"0.000"))</f>
        <v>-450.189 1.000 -833.632</v>
      </c>
      <c r="D298" s="61"/>
      <c r="E298" s="61"/>
      <c r="F298" s="113"/>
      <c r="G298" s="120"/>
      <c r="H298" s="121" t="s">
        <v>26</v>
      </c>
      <c r="I298" s="145" t="str">
        <f>CONCATENATE(TEXT(K291,"0.000")," ",TEXT(L291,"0.000")," ",TEXT(M291,"0.000"))</f>
        <v>291.977 1.000 -811.074</v>
      </c>
      <c r="J298" s="122"/>
      <c r="K298" s="122"/>
      <c r="L298" s="123"/>
    </row>
    <row r="299" spans="1:19" ht="13.5" thickBot="1" x14ac:dyDescent="0.25">
      <c r="A299" s="115"/>
      <c r="B299" s="116" t="s">
        <v>19</v>
      </c>
      <c r="C299" s="146" t="str">
        <f>I284</f>
        <v>0.000000 0.573576 0.000000 0.819152</v>
      </c>
      <c r="D299" s="60"/>
      <c r="E299" s="60"/>
      <c r="F299" s="117"/>
      <c r="G299" s="124"/>
      <c r="H299" s="125" t="s">
        <v>19</v>
      </c>
      <c r="I299" s="147" t="str">
        <f>N288</f>
        <v>0.000000 -0.766044 0.000000 -0.642788</v>
      </c>
      <c r="J299" s="126"/>
      <c r="K299" s="126"/>
      <c r="L299" s="127"/>
    </row>
    <row r="301" spans="1:19" x14ac:dyDescent="0.2">
      <c r="A301" s="82" t="s">
        <v>964</v>
      </c>
      <c r="B301" s="10"/>
      <c r="C301" s="10"/>
      <c r="D301" s="10"/>
      <c r="E301" s="10"/>
      <c r="F301" s="10"/>
      <c r="G301" s="10"/>
      <c r="H301" s="10"/>
      <c r="I301" s="10"/>
    </row>
    <row r="302" spans="1:19" x14ac:dyDescent="0.2">
      <c r="B302" s="45" t="s">
        <v>32</v>
      </c>
    </row>
    <row r="303" spans="1:19" x14ac:dyDescent="0.2">
      <c r="C303" s="12"/>
      <c r="L303" s="59"/>
      <c r="S303" s="77"/>
    </row>
    <row r="304" spans="1:19" hidden="1" x14ac:dyDescent="0.2">
      <c r="D304" s="1" t="s">
        <v>1214</v>
      </c>
      <c r="E304" s="1" t="s">
        <v>1215</v>
      </c>
      <c r="F304" s="1" t="s">
        <v>1216</v>
      </c>
      <c r="G304" s="1" t="s">
        <v>1217</v>
      </c>
      <c r="I304" s="53" t="s">
        <v>1221</v>
      </c>
      <c r="K304" s="1" t="s">
        <v>40</v>
      </c>
      <c r="L304" s="1" t="s">
        <v>41</v>
      </c>
      <c r="M304" s="1" t="s">
        <v>42</v>
      </c>
      <c r="O304" s="53" t="s">
        <v>1220</v>
      </c>
      <c r="P304" s="1" t="s">
        <v>207</v>
      </c>
    </row>
    <row r="305" spans="1:19" hidden="1" x14ac:dyDescent="0.2">
      <c r="B305" s="1" t="s">
        <v>945</v>
      </c>
      <c r="C305" s="19" t="s">
        <v>1212</v>
      </c>
      <c r="D305" s="19">
        <f>D283</f>
        <v>0.81915204428899202</v>
      </c>
      <c r="E305" s="19">
        <f>E283</f>
        <v>0.57357643635104605</v>
      </c>
      <c r="F305" s="19">
        <f>F283</f>
        <v>0</v>
      </c>
      <c r="G305" s="19">
        <f>G283</f>
        <v>0</v>
      </c>
      <c r="H305" s="19"/>
      <c r="I305" s="19">
        <f>SQRT(K305^2+L305^2+M305^2)</f>
        <v>87.155742747658138</v>
      </c>
      <c r="J305" s="19" t="s">
        <v>961</v>
      </c>
      <c r="K305" s="19">
        <f>K282</f>
        <v>-78.989928337165594</v>
      </c>
      <c r="L305" s="19">
        <f>L282</f>
        <v>0</v>
      </c>
      <c r="M305" s="19">
        <f>M282</f>
        <v>36.833608500734854</v>
      </c>
      <c r="N305" s="20" t="s">
        <v>34</v>
      </c>
      <c r="O305" s="1">
        <f>O281</f>
        <v>0.99619469809174555</v>
      </c>
      <c r="P305" s="1">
        <f>P281</f>
        <v>0.98480775301220802</v>
      </c>
    </row>
    <row r="306" spans="1:19" hidden="1" x14ac:dyDescent="0.2">
      <c r="B306" s="1"/>
      <c r="C306" s="19" t="s">
        <v>1213</v>
      </c>
      <c r="D306" s="19">
        <f>D282</f>
        <v>0.99619469809174555</v>
      </c>
      <c r="E306" s="19">
        <f>E282</f>
        <v>8.7155742747658166E-2</v>
      </c>
      <c r="F306" s="19">
        <f>F282</f>
        <v>0</v>
      </c>
      <c r="G306" s="19">
        <f>G282</f>
        <v>0</v>
      </c>
      <c r="H306" s="19"/>
      <c r="I306" s="19">
        <f>SQRT(K306^2+L306^2+M306^2)</f>
        <v>87.155742747658124</v>
      </c>
      <c r="J306" s="19" t="s">
        <v>950</v>
      </c>
      <c r="K306" s="19">
        <f>P305*K305-P306*M305</f>
        <v>-84.185982829369138</v>
      </c>
      <c r="L306" s="19">
        <f>L305</f>
        <v>0</v>
      </c>
      <c r="M306" s="1">
        <f>P306*K305+P305*M305</f>
        <v>22.557566113149832</v>
      </c>
      <c r="N306" s="20" t="s">
        <v>35</v>
      </c>
      <c r="O306" s="1">
        <f>O282</f>
        <v>8.7155742747658166E-2</v>
      </c>
      <c r="P306" s="1">
        <f>P282</f>
        <v>0.17364817766693033</v>
      </c>
    </row>
    <row r="307" spans="1:19" hidden="1" x14ac:dyDescent="0.2">
      <c r="B307" s="1"/>
      <c r="C307" s="19" t="s">
        <v>1218</v>
      </c>
      <c r="D307" s="19">
        <f>D306*D305-E306*E305-F306*F305-G306*G305</f>
        <v>0.76604444311897824</v>
      </c>
      <c r="E307" s="19">
        <f>D306*E305+E306*D305+F306*G305-G306*F305</f>
        <v>0.64278760968653925</v>
      </c>
      <c r="F307" s="19">
        <f>D306*F305-E306*G305+F306*D305+G306*E305</f>
        <v>0</v>
      </c>
      <c r="G307" s="19">
        <f>D306*G305+E306*F305-F306*E305+G306*D305</f>
        <v>0</v>
      </c>
      <c r="H307" s="19"/>
      <c r="I307" s="19"/>
      <c r="J307" s="19"/>
      <c r="K307" s="19"/>
      <c r="L307" s="19"/>
    </row>
    <row r="308" spans="1:19" hidden="1" x14ac:dyDescent="0.2">
      <c r="B308" s="1"/>
      <c r="C308" s="19" t="s">
        <v>848</v>
      </c>
      <c r="D308" s="19">
        <f>F307</f>
        <v>0</v>
      </c>
      <c r="E308" s="19">
        <f>E307</f>
        <v>0.64278760968653925</v>
      </c>
      <c r="F308" s="19">
        <f>G307</f>
        <v>0</v>
      </c>
      <c r="G308" s="19">
        <f>D307</f>
        <v>0.76604444311897824</v>
      </c>
      <c r="H308" s="19" t="s">
        <v>878</v>
      </c>
      <c r="I308" s="19" t="str">
        <f>CONCATENATE(TEXT(D308,"0.000000")," ",TEXT(E308,"0.000000")," ",TEXT(F308,"0.000000")," ",TEXT(G308,"0.000000"))</f>
        <v>0.000000 0.642788 0.000000 0.766044</v>
      </c>
      <c r="J308" s="19"/>
      <c r="K308" s="19"/>
      <c r="L308" s="19"/>
      <c r="M308" s="1" t="s">
        <v>1188</v>
      </c>
      <c r="N308" s="1" t="str">
        <f>CONCATENATE(TEXT(-F308,"0.000000")," ",TEXT(-G308,"0.000000")," ",TEXT(D308,"0.000000")," ",TEXT(E308,"0.000000"))</f>
        <v>0.000000 -0.766044 0.000000 0.642788</v>
      </c>
    </row>
    <row r="309" spans="1:19" hidden="1" x14ac:dyDescent="0.2">
      <c r="B309" s="1" t="s">
        <v>946</v>
      </c>
      <c r="C309" s="19" t="s">
        <v>1212</v>
      </c>
      <c r="D309" s="19">
        <f>D287</f>
        <v>0.76604444311897824</v>
      </c>
      <c r="E309" s="19">
        <f>E287</f>
        <v>-0.64278760968653925</v>
      </c>
      <c r="F309" s="19">
        <f>F287</f>
        <v>0</v>
      </c>
      <c r="G309" s="19">
        <f>G287</f>
        <v>0</v>
      </c>
      <c r="H309" s="19"/>
      <c r="I309" s="19">
        <f>SQRT(K309^2+L309^2+M309^2)</f>
        <v>87.155742747658124</v>
      </c>
      <c r="J309" s="19" t="s">
        <v>947</v>
      </c>
      <c r="K309" s="19">
        <f>K286</f>
        <v>84.185982829369138</v>
      </c>
      <c r="L309" s="19">
        <f>L286</f>
        <v>0</v>
      </c>
      <c r="M309" s="19">
        <f>M286</f>
        <v>22.557566113149832</v>
      </c>
      <c r="N309" s="20"/>
      <c r="O309" s="1"/>
    </row>
    <row r="310" spans="1:19" hidden="1" x14ac:dyDescent="0.2">
      <c r="B310" s="1"/>
      <c r="C310" s="19" t="s">
        <v>952</v>
      </c>
      <c r="D310" s="19">
        <f>D286</f>
        <v>0.99619469809174555</v>
      </c>
      <c r="E310" s="19">
        <f>E286</f>
        <v>-8.7155742747658166E-2</v>
      </c>
      <c r="F310" s="19">
        <f>F286</f>
        <v>0</v>
      </c>
      <c r="G310" s="19">
        <f>G286</f>
        <v>0</v>
      </c>
      <c r="H310" s="19"/>
      <c r="I310" s="19">
        <f>SQRT(K310^2+L310^2+M310^2)</f>
        <v>87.155742747658124</v>
      </c>
      <c r="J310" s="19" t="s">
        <v>951</v>
      </c>
      <c r="K310" s="19">
        <f>P305*K309+P306*M309</f>
        <v>86.824088833465126</v>
      </c>
      <c r="L310" s="19">
        <f>L309</f>
        <v>0</v>
      </c>
      <c r="M310" s="1">
        <f>-P306*K309+P305*M309</f>
        <v>7.5961234938959752</v>
      </c>
      <c r="N310" s="20"/>
      <c r="O310" s="1"/>
    </row>
    <row r="311" spans="1:19" hidden="1" x14ac:dyDescent="0.2">
      <c r="B311" s="1"/>
      <c r="C311" s="19" t="s">
        <v>1218</v>
      </c>
      <c r="D311" s="19">
        <f>D310*D309-E310*E309-F310*F309-G310*G309</f>
        <v>0.70710678118654779</v>
      </c>
      <c r="E311" s="19">
        <f>D310*E309+E310*D309+F310*G309-G310*F309</f>
        <v>-0.70710678118654746</v>
      </c>
      <c r="F311" s="19">
        <f>D310*F309-E310*G309+F310*D309+G310*E309</f>
        <v>0</v>
      </c>
      <c r="G311" s="19">
        <f>D310*G309+E310*F309-F310*E309+G310*D309</f>
        <v>0</v>
      </c>
      <c r="H311" s="19"/>
      <c r="I311" s="19"/>
      <c r="J311" s="19"/>
      <c r="K311" s="19"/>
      <c r="L311" s="19"/>
    </row>
    <row r="312" spans="1:19" hidden="1" x14ac:dyDescent="0.2">
      <c r="B312" s="1"/>
      <c r="C312" s="19" t="s">
        <v>848</v>
      </c>
      <c r="D312" s="19">
        <f>F311</f>
        <v>0</v>
      </c>
      <c r="E312" s="19">
        <f>E311</f>
        <v>-0.70710678118654746</v>
      </c>
      <c r="F312" s="19">
        <f>G311</f>
        <v>0</v>
      </c>
      <c r="G312" s="19">
        <f>D311</f>
        <v>0.70710678118654779</v>
      </c>
      <c r="H312" s="19" t="s">
        <v>878</v>
      </c>
      <c r="I312" s="19" t="str">
        <f>CONCATENATE(TEXT(D312,"0.000000")," ",TEXT(E312,"0.000000")," ",TEXT(F312,"0.000000")," ",TEXT(G312,"0.000000"))</f>
        <v>0.000000 -0.707107 0.000000 0.707107</v>
      </c>
      <c r="J312" s="19"/>
      <c r="K312" s="19"/>
      <c r="L312" s="19"/>
      <c r="M312" s="1" t="s">
        <v>1188</v>
      </c>
      <c r="N312" s="1" t="str">
        <f>CONCATENATE(TEXT(-F312,"0.000000")," ",TEXT(-G312,"0.000000")," ",TEXT(D312,"0.000000")," ",TEXT(E312,"0.000000"))</f>
        <v>0.000000 -0.707107 0.000000 -0.707107</v>
      </c>
    </row>
    <row r="313" spans="1:19" hidden="1" x14ac:dyDescent="0.2">
      <c r="A313" s="54"/>
      <c r="B313" s="1"/>
      <c r="C313" s="1"/>
      <c r="D313" s="1"/>
      <c r="E313" s="1"/>
      <c r="F313" s="1"/>
      <c r="G313" s="1"/>
      <c r="H313" s="1" t="s">
        <v>31</v>
      </c>
      <c r="I313" s="1"/>
      <c r="J313" s="1"/>
      <c r="K313" s="1" t="s">
        <v>14</v>
      </c>
      <c r="L313" s="1" t="s">
        <v>15</v>
      </c>
      <c r="M313" s="1" t="s">
        <v>16</v>
      </c>
      <c r="N313" s="1" t="s">
        <v>17</v>
      </c>
      <c r="O313" s="1" t="s">
        <v>18</v>
      </c>
    </row>
    <row r="314" spans="1:19" hidden="1" x14ac:dyDescent="0.2">
      <c r="B314" s="1"/>
      <c r="C314" s="1"/>
      <c r="D314" s="1"/>
      <c r="E314" s="1"/>
      <c r="F314" s="1"/>
      <c r="G314" s="1"/>
      <c r="H314" s="1">
        <f>H290</f>
        <v>0</v>
      </c>
      <c r="I314" s="1"/>
      <c r="J314" s="1" t="s">
        <v>945</v>
      </c>
      <c r="K314" s="1">
        <f>IF(ABS(K290+K306)&lt;=1024,K290+K306,IF(K290+K306&gt;1024,K290+K306-2048,K290+K306+2048))</f>
        <v>-534.37491116653462</v>
      </c>
      <c r="L314" s="1">
        <f>L290+L306</f>
        <v>1</v>
      </c>
      <c r="M314" s="1">
        <f>IF(ABS(M290+M306)&lt;=1024,M290+M306,IF(M290+M306&gt;1024,M290+M306-2048,M290+M306+2048))</f>
        <v>-811.07412349389585</v>
      </c>
      <c r="N314" s="1">
        <f>IF(ABS(K290+K306)&lt;=1024,N290,IF(K290+K306&gt;1024,N290+1,N290-1))</f>
        <v>-12925</v>
      </c>
      <c r="O314" s="1">
        <f>IF(ABS(M290+M306)&lt;=1024,O290,IF(M290+M306&gt;1024,O290+1,O290-1))</f>
        <v>14197</v>
      </c>
    </row>
    <row r="315" spans="1:19" hidden="1" x14ac:dyDescent="0.2">
      <c r="B315" s="1"/>
      <c r="C315" s="1"/>
      <c r="D315" s="1"/>
      <c r="E315" s="1"/>
      <c r="F315" s="1"/>
      <c r="G315" s="1"/>
      <c r="H315" s="1"/>
      <c r="I315" s="1"/>
      <c r="J315" s="1" t="s">
        <v>946</v>
      </c>
      <c r="K315" s="1">
        <f>IF(ABS(K291+K310)&lt;=1024,K291+K310,IF(K291+K310&gt;1024,K291+K310-2048,K291+K310+2048))</f>
        <v>378.80099999999976</v>
      </c>
      <c r="L315" s="1">
        <f>L291+L310</f>
        <v>1</v>
      </c>
      <c r="M315" s="1">
        <f>IF(ABS(M291+M310)&lt;=1024,M291+M310,IF(M291+M310&gt;1024,M291+M310-2048,M291+M310+2048))</f>
        <v>-803.47799999999984</v>
      </c>
      <c r="N315" s="1">
        <f>IF(ABS(K291+K310)&lt;=1024,N291,IF(K291+K310&gt;1024,N291+1,N291-1))</f>
        <v>-12925</v>
      </c>
      <c r="O315" s="1">
        <f>IF(ABS(M291+M310)&lt;=1024,O291,IF(M291+M310&gt;1024,O291+1,O291-1))</f>
        <v>14197</v>
      </c>
    </row>
    <row r="316" spans="1:19" hidden="1" x14ac:dyDescent="0.2"/>
    <row r="317" spans="1:19" x14ac:dyDescent="0.2">
      <c r="A317" s="25" t="s">
        <v>1230</v>
      </c>
      <c r="H317" s="1"/>
      <c r="K317" s="1"/>
      <c r="L317" s="77"/>
      <c r="M317" s="1"/>
      <c r="N317" s="1"/>
      <c r="O317" s="1"/>
      <c r="P317" s="1"/>
      <c r="Q317" s="1"/>
      <c r="S317" s="77"/>
    </row>
    <row r="318" spans="1:19" x14ac:dyDescent="0.2">
      <c r="A318" s="54"/>
      <c r="C318" s="26" t="str">
        <f>T(IF(ABS(C320-C296)+ABS(E320-E296)&lt;&gt;0,"WARNING:  TILE CHANGE -&gt; other world tile file!",""))</f>
        <v/>
      </c>
      <c r="H318" s="1"/>
      <c r="I318" s="26" t="str">
        <f>T(IF(ABS(I320-I296)+ABS(K320-K296)&lt;&gt;0,"WARNING:  TILE CHANGE -&gt; other world tile file!",""))</f>
        <v/>
      </c>
      <c r="J318" s="1"/>
      <c r="K318" s="1"/>
      <c r="L318" s="1"/>
      <c r="M318" s="1"/>
      <c r="N318" s="1"/>
      <c r="O318" s="1"/>
      <c r="P318" s="1"/>
      <c r="Q318" s="1"/>
    </row>
    <row r="319" spans="1:19" ht="13.5" thickBot="1" x14ac:dyDescent="0.25">
      <c r="B319" s="33" t="s">
        <v>416</v>
      </c>
      <c r="H319" s="1"/>
      <c r="I319" s="26"/>
      <c r="J319" s="1"/>
      <c r="K319" s="1"/>
      <c r="L319" s="1"/>
      <c r="M319" s="1"/>
      <c r="N319" s="1"/>
      <c r="O319" s="1"/>
      <c r="P319" s="1"/>
      <c r="Q319" s="1"/>
    </row>
    <row r="320" spans="1:19" x14ac:dyDescent="0.2">
      <c r="A320" s="109" t="s">
        <v>962</v>
      </c>
      <c r="B320" s="110" t="s">
        <v>28</v>
      </c>
      <c r="C320" s="143">
        <f>N314</f>
        <v>-12925</v>
      </c>
      <c r="D320" s="110" t="s">
        <v>27</v>
      </c>
      <c r="E320" s="143">
        <f>O314</f>
        <v>14197</v>
      </c>
      <c r="F320" s="111"/>
      <c r="G320" s="128" t="s">
        <v>953</v>
      </c>
      <c r="H320" s="118" t="s">
        <v>28</v>
      </c>
      <c r="I320" s="143">
        <f>N315</f>
        <v>-12925</v>
      </c>
      <c r="J320" s="118" t="s">
        <v>27</v>
      </c>
      <c r="K320" s="143">
        <f>O315</f>
        <v>14197</v>
      </c>
      <c r="L320" s="119"/>
    </row>
    <row r="321" spans="1:19" x14ac:dyDescent="0.2">
      <c r="A321" s="112"/>
      <c r="B321" s="114" t="s">
        <v>29</v>
      </c>
      <c r="C321" s="144">
        <f>H314</f>
        <v>0</v>
      </c>
      <c r="D321" s="61"/>
      <c r="E321" s="61"/>
      <c r="F321" s="113"/>
      <c r="G321" s="120"/>
      <c r="H321" s="121" t="s">
        <v>29</v>
      </c>
      <c r="I321" s="144">
        <f>-H314</f>
        <v>0</v>
      </c>
      <c r="J321" s="122"/>
      <c r="K321" s="122"/>
      <c r="L321" s="123"/>
    </row>
    <row r="322" spans="1:19" x14ac:dyDescent="0.2">
      <c r="A322" s="112"/>
      <c r="B322" s="114" t="s">
        <v>26</v>
      </c>
      <c r="C322" s="145" t="str">
        <f>CONCATENATE(TEXT(K314,"0.000")," ",TEXT(L314,"0.000")," ",TEXT(M314,"0.000"))</f>
        <v>-534.375 1.000 -811.074</v>
      </c>
      <c r="D322" s="61"/>
      <c r="E322" s="61"/>
      <c r="F322" s="113"/>
      <c r="G322" s="120"/>
      <c r="H322" s="121" t="s">
        <v>26</v>
      </c>
      <c r="I322" s="145" t="str">
        <f>CONCATENATE(TEXT(K315,"0.000")," ",TEXT(L315,"0.000")," ",TEXT(M315,"0.000"))</f>
        <v>378.801 1.000 -803.478</v>
      </c>
      <c r="J322" s="122"/>
      <c r="K322" s="122"/>
      <c r="L322" s="123"/>
    </row>
    <row r="323" spans="1:19" ht="13.5" thickBot="1" x14ac:dyDescent="0.25">
      <c r="A323" s="115"/>
      <c r="B323" s="116" t="s">
        <v>19</v>
      </c>
      <c r="C323" s="146" t="str">
        <f>I308</f>
        <v>0.000000 0.642788 0.000000 0.766044</v>
      </c>
      <c r="D323" s="60"/>
      <c r="E323" s="60"/>
      <c r="F323" s="117"/>
      <c r="G323" s="124"/>
      <c r="H323" s="125" t="s">
        <v>19</v>
      </c>
      <c r="I323" s="147" t="str">
        <f>N312</f>
        <v>0.000000 -0.707107 0.000000 -0.707107</v>
      </c>
      <c r="J323" s="126"/>
      <c r="K323" s="126"/>
      <c r="L323" s="127"/>
    </row>
    <row r="325" spans="1:19" x14ac:dyDescent="0.2">
      <c r="A325" s="82" t="s">
        <v>964</v>
      </c>
      <c r="B325" s="10"/>
      <c r="C325" s="10"/>
      <c r="D325" s="10"/>
      <c r="E325" s="10"/>
      <c r="F325" s="10"/>
      <c r="G325" s="10"/>
      <c r="H325" s="10"/>
      <c r="I325" s="10"/>
    </row>
    <row r="326" spans="1:19" x14ac:dyDescent="0.2">
      <c r="B326" s="45" t="s">
        <v>32</v>
      </c>
    </row>
    <row r="327" spans="1:19" x14ac:dyDescent="0.2">
      <c r="C327" s="12"/>
      <c r="L327" s="59"/>
      <c r="S327" s="77"/>
    </row>
    <row r="328" spans="1:19" hidden="1" x14ac:dyDescent="0.2">
      <c r="D328" s="1" t="s">
        <v>1214</v>
      </c>
      <c r="E328" s="1" t="s">
        <v>1215</v>
      </c>
      <c r="F328" s="1" t="s">
        <v>1216</v>
      </c>
      <c r="G328" s="1" t="s">
        <v>1217</v>
      </c>
      <c r="I328" s="53" t="s">
        <v>1221</v>
      </c>
      <c r="K328" s="1" t="s">
        <v>40</v>
      </c>
      <c r="L328" s="1" t="s">
        <v>41</v>
      </c>
      <c r="M328" s="1" t="s">
        <v>42</v>
      </c>
      <c r="O328" s="53" t="s">
        <v>1220</v>
      </c>
      <c r="P328" s="1" t="s">
        <v>207</v>
      </c>
    </row>
    <row r="329" spans="1:19" hidden="1" x14ac:dyDescent="0.2">
      <c r="B329" s="1" t="s">
        <v>945</v>
      </c>
      <c r="C329" s="19" t="s">
        <v>1212</v>
      </c>
      <c r="D329" s="19">
        <f>D307</f>
        <v>0.76604444311897824</v>
      </c>
      <c r="E329" s="19">
        <f>E307</f>
        <v>0.64278760968653925</v>
      </c>
      <c r="F329" s="19">
        <f>F307</f>
        <v>0</v>
      </c>
      <c r="G329" s="19">
        <f>G307</f>
        <v>0</v>
      </c>
      <c r="H329" s="19"/>
      <c r="I329" s="19">
        <f>SQRT(K329^2+L329^2+M329^2)</f>
        <v>87.155742747658124</v>
      </c>
      <c r="J329" s="19" t="s">
        <v>961</v>
      </c>
      <c r="K329" s="19">
        <f>K306</f>
        <v>-84.185982829369138</v>
      </c>
      <c r="L329" s="19">
        <f>L306</f>
        <v>0</v>
      </c>
      <c r="M329" s="19">
        <f>M306</f>
        <v>22.557566113149832</v>
      </c>
      <c r="N329" s="20" t="s">
        <v>34</v>
      </c>
      <c r="O329" s="1">
        <f>O305</f>
        <v>0.99619469809174555</v>
      </c>
      <c r="P329" s="1">
        <f>P305</f>
        <v>0.98480775301220802</v>
      </c>
    </row>
    <row r="330" spans="1:19" hidden="1" x14ac:dyDescent="0.2">
      <c r="B330" s="1"/>
      <c r="C330" s="19" t="s">
        <v>1213</v>
      </c>
      <c r="D330" s="19">
        <f>D306</f>
        <v>0.99619469809174555</v>
      </c>
      <c r="E330" s="19">
        <f>E306</f>
        <v>8.7155742747658166E-2</v>
      </c>
      <c r="F330" s="19">
        <f>F306</f>
        <v>0</v>
      </c>
      <c r="G330" s="19">
        <f>G306</f>
        <v>0</v>
      </c>
      <c r="H330" s="19"/>
      <c r="I330" s="19">
        <f>SQRT(K330^2+L330^2+M330^2)</f>
        <v>87.155742747658124</v>
      </c>
      <c r="J330" s="19" t="s">
        <v>950</v>
      </c>
      <c r="K330" s="19">
        <f>P329*K329-P330*M329</f>
        <v>-86.824088833465126</v>
      </c>
      <c r="L330" s="19">
        <f>L329</f>
        <v>0</v>
      </c>
      <c r="M330" s="1">
        <f>P330*K329+P329*M329</f>
        <v>7.5961234938959752</v>
      </c>
      <c r="N330" s="20" t="s">
        <v>35</v>
      </c>
      <c r="O330" s="1">
        <f>O306</f>
        <v>8.7155742747658166E-2</v>
      </c>
      <c r="P330" s="1">
        <f>P306</f>
        <v>0.17364817766693033</v>
      </c>
    </row>
    <row r="331" spans="1:19" hidden="1" x14ac:dyDescent="0.2">
      <c r="B331" s="1"/>
      <c r="C331" s="19" t="s">
        <v>1218</v>
      </c>
      <c r="D331" s="19">
        <f>D330*D329-E330*E329-F330*F329-G330*G329</f>
        <v>0.70710678118654779</v>
      </c>
      <c r="E331" s="19">
        <f>D330*E329+E330*D329+F330*G329-G330*F329</f>
        <v>0.70710678118654746</v>
      </c>
      <c r="F331" s="19">
        <f>D330*F329-E330*G329+F330*D329+G330*E329</f>
        <v>0</v>
      </c>
      <c r="G331" s="19">
        <f>D330*G329+E330*F329-F330*E329+G330*D329</f>
        <v>0</v>
      </c>
      <c r="H331" s="19"/>
      <c r="I331" s="19"/>
      <c r="J331" s="19"/>
      <c r="K331" s="19"/>
      <c r="L331" s="19"/>
    </row>
    <row r="332" spans="1:19" hidden="1" x14ac:dyDescent="0.2">
      <c r="B332" s="1"/>
      <c r="C332" s="19" t="s">
        <v>848</v>
      </c>
      <c r="D332" s="19">
        <f>F331</f>
        <v>0</v>
      </c>
      <c r="E332" s="19">
        <f>E331</f>
        <v>0.70710678118654746</v>
      </c>
      <c r="F332" s="19">
        <f>G331</f>
        <v>0</v>
      </c>
      <c r="G332" s="19">
        <f>D331</f>
        <v>0.70710678118654779</v>
      </c>
      <c r="H332" s="19" t="s">
        <v>878</v>
      </c>
      <c r="I332" s="19" t="str">
        <f>CONCATENATE(TEXT(D332,"0.000000")," ",TEXT(E332,"0.000000")," ",TEXT(F332,"0.000000")," ",TEXT(G332,"0.000000"))</f>
        <v>0.000000 0.707107 0.000000 0.707107</v>
      </c>
      <c r="J332" s="19"/>
      <c r="K332" s="19"/>
      <c r="L332" s="19"/>
      <c r="M332" s="1" t="s">
        <v>1188</v>
      </c>
      <c r="N332" s="1" t="str">
        <f>CONCATENATE(TEXT(-F332,"0.000000")," ",TEXT(-G332,"0.000000")," ",TEXT(D332,"0.000000")," ",TEXT(E332,"0.000000"))</f>
        <v>0.000000 -0.707107 0.000000 0.707107</v>
      </c>
    </row>
    <row r="333" spans="1:19" hidden="1" x14ac:dyDescent="0.2">
      <c r="B333" s="1" t="s">
        <v>946</v>
      </c>
      <c r="C333" s="19" t="s">
        <v>1212</v>
      </c>
      <c r="D333" s="19">
        <f>D311</f>
        <v>0.70710678118654779</v>
      </c>
      <c r="E333" s="19">
        <f>E311</f>
        <v>-0.70710678118654746</v>
      </c>
      <c r="F333" s="19">
        <f>F311</f>
        <v>0</v>
      </c>
      <c r="G333" s="19">
        <f>G311</f>
        <v>0</v>
      </c>
      <c r="H333" s="19"/>
      <c r="I333" s="19">
        <f>SQRT(K333^2+L333^2+M333^2)</f>
        <v>87.155742747658124</v>
      </c>
      <c r="J333" s="19" t="s">
        <v>947</v>
      </c>
      <c r="K333" s="19">
        <f>K310</f>
        <v>86.824088833465126</v>
      </c>
      <c r="L333" s="19">
        <f>L310</f>
        <v>0</v>
      </c>
      <c r="M333" s="19">
        <f>M310</f>
        <v>7.5961234938959752</v>
      </c>
      <c r="N333" s="20"/>
      <c r="O333" s="1"/>
    </row>
    <row r="334" spans="1:19" hidden="1" x14ac:dyDescent="0.2">
      <c r="B334" s="1"/>
      <c r="C334" s="19" t="s">
        <v>952</v>
      </c>
      <c r="D334" s="19">
        <f>D310</f>
        <v>0.99619469809174555</v>
      </c>
      <c r="E334" s="19">
        <f>E310</f>
        <v>-8.7155742747658166E-2</v>
      </c>
      <c r="F334" s="19">
        <f>F310</f>
        <v>0</v>
      </c>
      <c r="G334" s="19">
        <f>G310</f>
        <v>0</v>
      </c>
      <c r="H334" s="19"/>
      <c r="I334" s="19">
        <f>SQRT(K334^2+L334^2+M334^2)</f>
        <v>87.155742747658124</v>
      </c>
      <c r="J334" s="19" t="s">
        <v>951</v>
      </c>
      <c r="K334" s="19">
        <f>P329*K333+P330*M333</f>
        <v>86.824088833465126</v>
      </c>
      <c r="L334" s="19">
        <f>L333</f>
        <v>0</v>
      </c>
      <c r="M334" s="1">
        <f>-P330*K333+P329*M333</f>
        <v>-7.5961234938959556</v>
      </c>
      <c r="N334" s="20"/>
      <c r="O334" s="1"/>
    </row>
    <row r="335" spans="1:19" hidden="1" x14ac:dyDescent="0.2">
      <c r="B335" s="1"/>
      <c r="C335" s="19" t="s">
        <v>1218</v>
      </c>
      <c r="D335" s="19">
        <f>D334*D333-E334*E333-F334*F333-G334*G333</f>
        <v>0.64278760968653958</v>
      </c>
      <c r="E335" s="19">
        <f>D334*E333+E334*D333+F334*G333-G334*F333</f>
        <v>-0.7660444431189779</v>
      </c>
      <c r="F335" s="19">
        <f>D334*F333-E334*G333+F334*D333+G334*E333</f>
        <v>0</v>
      </c>
      <c r="G335" s="19">
        <f>D334*G333+E334*F333-F334*E333+G334*D333</f>
        <v>0</v>
      </c>
      <c r="H335" s="19"/>
      <c r="I335" s="19"/>
      <c r="J335" s="19"/>
      <c r="K335" s="19"/>
      <c r="L335" s="19"/>
    </row>
    <row r="336" spans="1:19" hidden="1" x14ac:dyDescent="0.2">
      <c r="B336" s="1"/>
      <c r="C336" s="19" t="s">
        <v>848</v>
      </c>
      <c r="D336" s="19">
        <f>F335</f>
        <v>0</v>
      </c>
      <c r="E336" s="19">
        <f>E335</f>
        <v>-0.7660444431189779</v>
      </c>
      <c r="F336" s="19">
        <f>G335</f>
        <v>0</v>
      </c>
      <c r="G336" s="19">
        <f>D335</f>
        <v>0.64278760968653958</v>
      </c>
      <c r="H336" s="19" t="s">
        <v>878</v>
      </c>
      <c r="I336" s="19" t="str">
        <f>CONCATENATE(TEXT(D336,"0.000000")," ",TEXT(E336,"0.000000")," ",TEXT(F336,"0.000000")," ",TEXT(G336,"0.000000"))</f>
        <v>0.000000 -0.766044 0.000000 0.642788</v>
      </c>
      <c r="J336" s="19"/>
      <c r="K336" s="19"/>
      <c r="L336" s="19"/>
      <c r="M336" s="1" t="s">
        <v>1188</v>
      </c>
      <c r="N336" s="1" t="str">
        <f>CONCATENATE(TEXT(-F336,"0.000000")," ",TEXT(-G336,"0.000000")," ",TEXT(D336,"0.000000")," ",TEXT(E336,"0.000000"))</f>
        <v>0.000000 -0.642788 0.000000 -0.766044</v>
      </c>
    </row>
    <row r="337" spans="1:19" hidden="1" x14ac:dyDescent="0.2">
      <c r="A337" s="54"/>
      <c r="B337" s="1"/>
      <c r="C337" s="1"/>
      <c r="D337" s="1"/>
      <c r="E337" s="1"/>
      <c r="F337" s="1"/>
      <c r="G337" s="1"/>
      <c r="H337" s="1" t="s">
        <v>31</v>
      </c>
      <c r="I337" s="1"/>
      <c r="J337" s="1"/>
      <c r="K337" s="1" t="s">
        <v>14</v>
      </c>
      <c r="L337" s="1" t="s">
        <v>15</v>
      </c>
      <c r="M337" s="1" t="s">
        <v>16</v>
      </c>
      <c r="N337" s="1" t="s">
        <v>17</v>
      </c>
      <c r="O337" s="1" t="s">
        <v>18</v>
      </c>
    </row>
    <row r="338" spans="1:19" hidden="1" x14ac:dyDescent="0.2">
      <c r="B338" s="1"/>
      <c r="C338" s="1"/>
      <c r="D338" s="1"/>
      <c r="E338" s="1"/>
      <c r="F338" s="1"/>
      <c r="G338" s="1"/>
      <c r="H338" s="1">
        <f>H314</f>
        <v>0</v>
      </c>
      <c r="I338" s="1"/>
      <c r="J338" s="1" t="s">
        <v>945</v>
      </c>
      <c r="K338" s="1">
        <f>IF(ABS(K314+K330)&lt;=1024,K314+K330,IF(K314+K330&gt;1024,K314+K330-2048,K314+K330+2048))</f>
        <v>-621.19899999999973</v>
      </c>
      <c r="L338" s="1">
        <f>L314+L330</f>
        <v>1</v>
      </c>
      <c r="M338" s="1">
        <f>IF(ABS(M314+M330)&lt;=1024,M314+M330,IF(M314+M330&gt;1024,M314+M330-2048,M314+M330+2048))</f>
        <v>-803.47799999999984</v>
      </c>
      <c r="N338" s="1">
        <f>IF(ABS(K314+K330)&lt;=1024,N314,IF(K314+K330&gt;1024,N314+1,N314-1))</f>
        <v>-12925</v>
      </c>
      <c r="O338" s="1">
        <f>IF(ABS(M314+M330)&lt;=1024,O314,IF(M314+M330&gt;1024,O314+1,O314-1))</f>
        <v>14197</v>
      </c>
    </row>
    <row r="339" spans="1:19" hidden="1" x14ac:dyDescent="0.2">
      <c r="B339" s="1"/>
      <c r="C339" s="1"/>
      <c r="D339" s="1"/>
      <c r="E339" s="1"/>
      <c r="F339" s="1"/>
      <c r="G339" s="1"/>
      <c r="H339" s="1"/>
      <c r="I339" s="1"/>
      <c r="J339" s="1" t="s">
        <v>946</v>
      </c>
      <c r="K339" s="1">
        <f>IF(ABS(K315+K334)&lt;=1024,K315+K334,IF(K315+K334&gt;1024,K315+K334-2048,K315+K334+2048))</f>
        <v>465.62508883346487</v>
      </c>
      <c r="L339" s="1">
        <f>L315+L334</f>
        <v>1</v>
      </c>
      <c r="M339" s="1">
        <f>IF(ABS(M315+M334)&lt;=1024,M315+M334,IF(M315+M334&gt;1024,M315+M334-2048,M315+M334+2048))</f>
        <v>-811.07412349389574</v>
      </c>
      <c r="N339" s="1">
        <f>IF(ABS(K315+K334)&lt;=1024,N315,IF(K315+K334&gt;1024,N315+1,N315-1))</f>
        <v>-12925</v>
      </c>
      <c r="O339" s="1">
        <f>IF(ABS(M315+M334)&lt;=1024,O315,IF(M315+M334&gt;1024,O315+1,O315-1))</f>
        <v>14197</v>
      </c>
    </row>
    <row r="340" spans="1:19" hidden="1" x14ac:dyDescent="0.2"/>
    <row r="341" spans="1:19" x14ac:dyDescent="0.2">
      <c r="A341" s="25" t="s">
        <v>1231</v>
      </c>
      <c r="H341" s="1"/>
      <c r="K341" s="1"/>
      <c r="L341" s="77"/>
      <c r="M341" s="1"/>
      <c r="N341" s="1"/>
      <c r="O341" s="1"/>
      <c r="P341" s="1"/>
      <c r="Q341" s="1"/>
      <c r="S341" s="77"/>
    </row>
    <row r="342" spans="1:19" x14ac:dyDescent="0.2">
      <c r="A342" s="54"/>
      <c r="C342" s="26" t="str">
        <f>T(IF(ABS(C344-C320)+ABS(E344-E320)&lt;&gt;0,"WARNING:  TILE CHANGE -&gt; other world tile file!",""))</f>
        <v/>
      </c>
      <c r="H342" s="1"/>
      <c r="I342" s="26" t="str">
        <f>T(IF(ABS(I344-I320)+ABS(K344-K320)&lt;&gt;0,"WARNING:  TILE CHANGE -&gt; other world tile file!",""))</f>
        <v/>
      </c>
      <c r="J342" s="1"/>
      <c r="K342" s="1"/>
      <c r="L342" s="1"/>
      <c r="M342" s="1"/>
      <c r="N342" s="1"/>
      <c r="O342" s="1"/>
      <c r="P342" s="1"/>
      <c r="Q342" s="1"/>
    </row>
    <row r="343" spans="1:19" ht="13.5" thickBot="1" x14ac:dyDescent="0.25">
      <c r="B343" s="33" t="s">
        <v>416</v>
      </c>
      <c r="H343" s="1"/>
      <c r="I343" s="26"/>
      <c r="J343" s="1"/>
      <c r="K343" s="1"/>
      <c r="L343" s="1"/>
      <c r="M343" s="1"/>
      <c r="N343" s="1"/>
      <c r="O343" s="1"/>
      <c r="P343" s="1"/>
      <c r="Q343" s="1"/>
    </row>
    <row r="344" spans="1:19" x14ac:dyDescent="0.2">
      <c r="A344" s="109" t="s">
        <v>962</v>
      </c>
      <c r="B344" s="110" t="s">
        <v>28</v>
      </c>
      <c r="C344" s="143">
        <f>N338</f>
        <v>-12925</v>
      </c>
      <c r="D344" s="110" t="s">
        <v>27</v>
      </c>
      <c r="E344" s="143">
        <f>O338</f>
        <v>14197</v>
      </c>
      <c r="F344" s="111"/>
      <c r="G344" s="128" t="s">
        <v>953</v>
      </c>
      <c r="H344" s="118" t="s">
        <v>28</v>
      </c>
      <c r="I344" s="143">
        <f>N339</f>
        <v>-12925</v>
      </c>
      <c r="J344" s="118" t="s">
        <v>27</v>
      </c>
      <c r="K344" s="143">
        <f>O339</f>
        <v>14197</v>
      </c>
      <c r="L344" s="119"/>
    </row>
    <row r="345" spans="1:19" x14ac:dyDescent="0.2">
      <c r="A345" s="112"/>
      <c r="B345" s="114" t="s">
        <v>29</v>
      </c>
      <c r="C345" s="144">
        <f>H338</f>
        <v>0</v>
      </c>
      <c r="D345" s="61"/>
      <c r="E345" s="61"/>
      <c r="F345" s="113"/>
      <c r="G345" s="120"/>
      <c r="H345" s="121" t="s">
        <v>29</v>
      </c>
      <c r="I345" s="144">
        <f>-H338</f>
        <v>0</v>
      </c>
      <c r="J345" s="122"/>
      <c r="K345" s="122"/>
      <c r="L345" s="123"/>
    </row>
    <row r="346" spans="1:19" x14ac:dyDescent="0.2">
      <c r="A346" s="112"/>
      <c r="B346" s="114" t="s">
        <v>26</v>
      </c>
      <c r="C346" s="145" t="str">
        <f>CONCATENATE(TEXT(K338,"0.000")," ",TEXT(L338,"0.000")," ",TEXT(M338,"0.000"))</f>
        <v>-621.199 1.000 -803.478</v>
      </c>
      <c r="D346" s="61"/>
      <c r="E346" s="61"/>
      <c r="F346" s="113"/>
      <c r="G346" s="120"/>
      <c r="H346" s="121" t="s">
        <v>26</v>
      </c>
      <c r="I346" s="145" t="str">
        <f>CONCATENATE(TEXT(K339,"0.000")," ",TEXT(L339,"0.000")," ",TEXT(M339,"0.000"))</f>
        <v>465.625 1.000 -811.074</v>
      </c>
      <c r="J346" s="122"/>
      <c r="K346" s="122"/>
      <c r="L346" s="123"/>
    </row>
    <row r="347" spans="1:19" ht="13.5" thickBot="1" x14ac:dyDescent="0.25">
      <c r="A347" s="115"/>
      <c r="B347" s="116" t="s">
        <v>19</v>
      </c>
      <c r="C347" s="146" t="str">
        <f>I332</f>
        <v>0.000000 0.707107 0.000000 0.707107</v>
      </c>
      <c r="D347" s="60"/>
      <c r="E347" s="60"/>
      <c r="F347" s="117"/>
      <c r="G347" s="124"/>
      <c r="H347" s="125" t="s">
        <v>19</v>
      </c>
      <c r="I347" s="147" t="str">
        <f>N336</f>
        <v>0.000000 -0.642788 0.000000 -0.766044</v>
      </c>
      <c r="J347" s="126"/>
      <c r="K347" s="126"/>
      <c r="L347" s="127"/>
    </row>
    <row r="349" spans="1:19" x14ac:dyDescent="0.2">
      <c r="A349" s="82" t="s">
        <v>964</v>
      </c>
      <c r="B349" s="10"/>
      <c r="C349" s="10"/>
      <c r="D349" s="10"/>
      <c r="E349" s="10"/>
      <c r="F349" s="10"/>
      <c r="G349" s="10"/>
      <c r="H349" s="10"/>
      <c r="I349" s="10"/>
    </row>
    <row r="350" spans="1:19" x14ac:dyDescent="0.2">
      <c r="B350" s="45" t="s">
        <v>32</v>
      </c>
    </row>
    <row r="351" spans="1:19" x14ac:dyDescent="0.2">
      <c r="C351" s="12"/>
      <c r="L351" s="59"/>
      <c r="S351" s="77"/>
    </row>
    <row r="352" spans="1:19" hidden="1" x14ac:dyDescent="0.2">
      <c r="D352" s="1" t="s">
        <v>1214</v>
      </c>
      <c r="E352" s="1" t="s">
        <v>1215</v>
      </c>
      <c r="F352" s="1" t="s">
        <v>1216</v>
      </c>
      <c r="G352" s="1" t="s">
        <v>1217</v>
      </c>
      <c r="I352" s="53" t="s">
        <v>1221</v>
      </c>
      <c r="K352" s="1" t="s">
        <v>40</v>
      </c>
      <c r="L352" s="1" t="s">
        <v>41</v>
      </c>
      <c r="M352" s="1" t="s">
        <v>42</v>
      </c>
      <c r="O352" s="53" t="s">
        <v>1220</v>
      </c>
      <c r="P352" s="1" t="s">
        <v>207</v>
      </c>
    </row>
    <row r="353" spans="1:19" hidden="1" x14ac:dyDescent="0.2">
      <c r="B353" s="1" t="s">
        <v>945</v>
      </c>
      <c r="C353" s="19" t="s">
        <v>1212</v>
      </c>
      <c r="D353" s="19">
        <f>D331</f>
        <v>0.70710678118654779</v>
      </c>
      <c r="E353" s="19">
        <f>E331</f>
        <v>0.70710678118654746</v>
      </c>
      <c r="F353" s="19">
        <f>F331</f>
        <v>0</v>
      </c>
      <c r="G353" s="19">
        <f>G331</f>
        <v>0</v>
      </c>
      <c r="H353" s="19"/>
      <c r="I353" s="19">
        <f>SQRT(K353^2+L353^2+M353^2)</f>
        <v>87.155742747658124</v>
      </c>
      <c r="J353" s="19" t="s">
        <v>961</v>
      </c>
      <c r="K353" s="19">
        <f>K330</f>
        <v>-86.824088833465126</v>
      </c>
      <c r="L353" s="19">
        <f>L330</f>
        <v>0</v>
      </c>
      <c r="M353" s="19">
        <f>M330</f>
        <v>7.5961234938959752</v>
      </c>
      <c r="N353" s="20" t="s">
        <v>34</v>
      </c>
      <c r="O353" s="1">
        <f>O329</f>
        <v>0.99619469809174555</v>
      </c>
      <c r="P353" s="1">
        <f>P329</f>
        <v>0.98480775301220802</v>
      </c>
    </row>
    <row r="354" spans="1:19" hidden="1" x14ac:dyDescent="0.2">
      <c r="B354" s="1"/>
      <c r="C354" s="19" t="s">
        <v>1213</v>
      </c>
      <c r="D354" s="19">
        <f>D330</f>
        <v>0.99619469809174555</v>
      </c>
      <c r="E354" s="19">
        <f>E330</f>
        <v>8.7155742747658166E-2</v>
      </c>
      <c r="F354" s="19">
        <f>F330</f>
        <v>0</v>
      </c>
      <c r="G354" s="19">
        <f>G330</f>
        <v>0</v>
      </c>
      <c r="H354" s="19"/>
      <c r="I354" s="19">
        <f>SQRT(K354^2+L354^2+M354^2)</f>
        <v>87.155742747658124</v>
      </c>
      <c r="J354" s="19" t="s">
        <v>950</v>
      </c>
      <c r="K354" s="19">
        <f>P353*K353-P354*M353</f>
        <v>-86.824088833465126</v>
      </c>
      <c r="L354" s="19">
        <f>L353</f>
        <v>0</v>
      </c>
      <c r="M354" s="1">
        <f>P354*K353+P353*M353</f>
        <v>-7.5961234938959556</v>
      </c>
      <c r="N354" s="20" t="s">
        <v>35</v>
      </c>
      <c r="O354" s="1">
        <f>O330</f>
        <v>8.7155742747658166E-2</v>
      </c>
      <c r="P354" s="1">
        <f>P330</f>
        <v>0.17364817766693033</v>
      </c>
    </row>
    <row r="355" spans="1:19" hidden="1" x14ac:dyDescent="0.2">
      <c r="B355" s="1"/>
      <c r="C355" s="19" t="s">
        <v>1218</v>
      </c>
      <c r="D355" s="19">
        <f>D354*D353-E354*E353-F354*F353-G354*G353</f>
        <v>0.64278760968653958</v>
      </c>
      <c r="E355" s="19">
        <f>D354*E353+E354*D353+F354*G353-G354*F353</f>
        <v>0.7660444431189779</v>
      </c>
      <c r="F355" s="19">
        <f>D354*F353-E354*G353+F354*D353+G354*E353</f>
        <v>0</v>
      </c>
      <c r="G355" s="19">
        <f>D354*G353+E354*F353-F354*E353+G354*D353</f>
        <v>0</v>
      </c>
      <c r="H355" s="19"/>
      <c r="I355" s="19"/>
      <c r="J355" s="19"/>
      <c r="K355" s="19"/>
      <c r="L355" s="19"/>
    </row>
    <row r="356" spans="1:19" hidden="1" x14ac:dyDescent="0.2">
      <c r="B356" s="1"/>
      <c r="C356" s="19" t="s">
        <v>848</v>
      </c>
      <c r="D356" s="19">
        <f>F355</f>
        <v>0</v>
      </c>
      <c r="E356" s="19">
        <f>E355</f>
        <v>0.7660444431189779</v>
      </c>
      <c r="F356" s="19">
        <f>G355</f>
        <v>0</v>
      </c>
      <c r="G356" s="19">
        <f>D355</f>
        <v>0.64278760968653958</v>
      </c>
      <c r="H356" s="19" t="s">
        <v>878</v>
      </c>
      <c r="I356" s="19" t="str">
        <f>CONCATENATE(TEXT(D356,"0.000000")," ",TEXT(E356,"0.000000")," ",TEXT(F356,"0.000000")," ",TEXT(G356,"0.000000"))</f>
        <v>0.000000 0.766044 0.000000 0.642788</v>
      </c>
      <c r="J356" s="19"/>
      <c r="K356" s="19"/>
      <c r="L356" s="19"/>
      <c r="M356" s="1" t="s">
        <v>1188</v>
      </c>
      <c r="N356" s="1" t="str">
        <f>CONCATENATE(TEXT(-F356,"0.000000")," ",TEXT(-G356,"0.000000")," ",TEXT(D356,"0.000000")," ",TEXT(E356,"0.000000"))</f>
        <v>0.000000 -0.642788 0.000000 0.766044</v>
      </c>
    </row>
    <row r="357" spans="1:19" hidden="1" x14ac:dyDescent="0.2">
      <c r="B357" s="1" t="s">
        <v>946</v>
      </c>
      <c r="C357" s="19" t="s">
        <v>1212</v>
      </c>
      <c r="D357" s="19">
        <f>D335</f>
        <v>0.64278760968653958</v>
      </c>
      <c r="E357" s="19">
        <f>E335</f>
        <v>-0.7660444431189779</v>
      </c>
      <c r="F357" s="19">
        <f>F335</f>
        <v>0</v>
      </c>
      <c r="G357" s="19">
        <f>G335</f>
        <v>0</v>
      </c>
      <c r="H357" s="19"/>
      <c r="I357" s="19">
        <f>SQRT(K357^2+L357^2+M357^2)</f>
        <v>87.155742747658124</v>
      </c>
      <c r="J357" s="19" t="s">
        <v>947</v>
      </c>
      <c r="K357" s="19">
        <f>K334</f>
        <v>86.824088833465126</v>
      </c>
      <c r="L357" s="19">
        <f>L334</f>
        <v>0</v>
      </c>
      <c r="M357" s="19">
        <f>M334</f>
        <v>-7.5961234938959556</v>
      </c>
      <c r="N357" s="20"/>
      <c r="O357" s="1"/>
    </row>
    <row r="358" spans="1:19" hidden="1" x14ac:dyDescent="0.2">
      <c r="B358" s="1"/>
      <c r="C358" s="19" t="s">
        <v>952</v>
      </c>
      <c r="D358" s="19">
        <f>D334</f>
        <v>0.99619469809174555</v>
      </c>
      <c r="E358" s="19">
        <f>E334</f>
        <v>-8.7155742747658166E-2</v>
      </c>
      <c r="F358" s="19">
        <f>F334</f>
        <v>0</v>
      </c>
      <c r="G358" s="19">
        <f>G334</f>
        <v>0</v>
      </c>
      <c r="H358" s="19"/>
      <c r="I358" s="19">
        <f>SQRT(K358^2+L358^2+M358^2)</f>
        <v>87.15574274765811</v>
      </c>
      <c r="J358" s="19" t="s">
        <v>951</v>
      </c>
      <c r="K358" s="19">
        <f>P353*K357+P354*M357</f>
        <v>84.185982829369138</v>
      </c>
      <c r="L358" s="19">
        <f>L357</f>
        <v>0</v>
      </c>
      <c r="M358" s="1">
        <f>-P354*K357+P353*M357</f>
        <v>-22.557566113149811</v>
      </c>
      <c r="N358" s="20"/>
      <c r="O358" s="1"/>
    </row>
    <row r="359" spans="1:19" hidden="1" x14ac:dyDescent="0.2">
      <c r="B359" s="1"/>
      <c r="C359" s="19" t="s">
        <v>1218</v>
      </c>
      <c r="D359" s="19">
        <f>D358*D357-E358*E357-F358*F357-G358*G357</f>
        <v>0.57357643635104638</v>
      </c>
      <c r="E359" s="19">
        <f>D358*E357+E358*D357+F358*G357-G358*F357</f>
        <v>-0.81915204428899169</v>
      </c>
      <c r="F359" s="19">
        <f>D358*F357-E358*G357+F358*D357+G358*E357</f>
        <v>0</v>
      </c>
      <c r="G359" s="19">
        <f>D358*G357+E358*F357-F358*E357+G358*D357</f>
        <v>0</v>
      </c>
      <c r="H359" s="19"/>
      <c r="I359" s="19"/>
      <c r="J359" s="19"/>
      <c r="K359" s="19"/>
      <c r="L359" s="19"/>
    </row>
    <row r="360" spans="1:19" hidden="1" x14ac:dyDescent="0.2">
      <c r="B360" s="1"/>
      <c r="C360" s="19" t="s">
        <v>848</v>
      </c>
      <c r="D360" s="19">
        <f>F359</f>
        <v>0</v>
      </c>
      <c r="E360" s="19">
        <f>E359</f>
        <v>-0.81915204428899169</v>
      </c>
      <c r="F360" s="19">
        <f>G359</f>
        <v>0</v>
      </c>
      <c r="G360" s="19">
        <f>D359</f>
        <v>0.57357643635104638</v>
      </c>
      <c r="H360" s="19" t="s">
        <v>878</v>
      </c>
      <c r="I360" s="19" t="str">
        <f>CONCATENATE(TEXT(D360,"0.000000")," ",TEXT(E360,"0.000000")," ",TEXT(F360,"0.000000")," ",TEXT(G360,"0.000000"))</f>
        <v>0.000000 -0.819152 0.000000 0.573576</v>
      </c>
      <c r="J360" s="19"/>
      <c r="K360" s="19"/>
      <c r="L360" s="19"/>
      <c r="M360" s="1" t="s">
        <v>1188</v>
      </c>
      <c r="N360" s="1" t="str">
        <f>CONCATENATE(TEXT(-F360,"0.000000")," ",TEXT(-G360,"0.000000")," ",TEXT(D360,"0.000000")," ",TEXT(E360,"0.000000"))</f>
        <v>0.000000 -0.573576 0.000000 -0.819152</v>
      </c>
    </row>
    <row r="361" spans="1:19" hidden="1" x14ac:dyDescent="0.2">
      <c r="A361" s="54"/>
      <c r="B361" s="1"/>
      <c r="C361" s="1"/>
      <c r="D361" s="1"/>
      <c r="E361" s="1"/>
      <c r="F361" s="1"/>
      <c r="G361" s="1"/>
      <c r="H361" s="1" t="s">
        <v>31</v>
      </c>
      <c r="I361" s="1"/>
      <c r="J361" s="1"/>
      <c r="K361" s="1" t="s">
        <v>14</v>
      </c>
      <c r="L361" s="1" t="s">
        <v>15</v>
      </c>
      <c r="M361" s="1" t="s">
        <v>16</v>
      </c>
      <c r="N361" s="1" t="s">
        <v>17</v>
      </c>
      <c r="O361" s="1" t="s">
        <v>18</v>
      </c>
    </row>
    <row r="362" spans="1:19" hidden="1" x14ac:dyDescent="0.2">
      <c r="B362" s="1"/>
      <c r="C362" s="1"/>
      <c r="D362" s="1"/>
      <c r="E362" s="1"/>
      <c r="F362" s="1"/>
      <c r="G362" s="1"/>
      <c r="H362" s="1">
        <f>H338</f>
        <v>0</v>
      </c>
      <c r="I362" s="1"/>
      <c r="J362" s="1" t="s">
        <v>945</v>
      </c>
      <c r="K362" s="1">
        <f>IF(ABS(K338+K354)&lt;=1024,K338+K354,IF(K338+K354&gt;1024,K338+K354-2048,K338+K354+2048))</f>
        <v>-708.02308883346484</v>
      </c>
      <c r="L362" s="1">
        <f>L338+L354</f>
        <v>1</v>
      </c>
      <c r="M362" s="1">
        <f>IF(ABS(M338+M354)&lt;=1024,M338+M354,IF(M338+M354&gt;1024,M338+M354-2048,M338+M354+2048))</f>
        <v>-811.07412349389574</v>
      </c>
      <c r="N362" s="1">
        <f>IF(ABS(K338+K354)&lt;=1024,N338,IF(K338+K354&gt;1024,N338+1,N338-1))</f>
        <v>-12925</v>
      </c>
      <c r="O362" s="1">
        <f>IF(ABS(M338+M354)&lt;=1024,O338,IF(M338+M354&gt;1024,O338+1,O338-1))</f>
        <v>14197</v>
      </c>
    </row>
    <row r="363" spans="1:19" hidden="1" x14ac:dyDescent="0.2">
      <c r="B363" s="1"/>
      <c r="C363" s="1"/>
      <c r="D363" s="1"/>
      <c r="E363" s="1"/>
      <c r="F363" s="1"/>
      <c r="G363" s="1"/>
      <c r="H363" s="1"/>
      <c r="I363" s="1"/>
      <c r="J363" s="1" t="s">
        <v>946</v>
      </c>
      <c r="K363" s="1">
        <f>IF(ABS(K339+K358)&lt;=1024,K339+K358,IF(K339+K358&gt;1024,K339+K358-2048,K339+K358+2048))</f>
        <v>549.81107166283402</v>
      </c>
      <c r="L363" s="1">
        <f>L339+L358</f>
        <v>1</v>
      </c>
      <c r="M363" s="1">
        <f>IF(ABS(M339+M358)&lt;=1024,M339+M358,IF(M339+M358&gt;1024,M339+M358-2048,M339+M358+2048))</f>
        <v>-833.63168960704559</v>
      </c>
      <c r="N363" s="1">
        <f>IF(ABS(K339+K358)&lt;=1024,N339,IF(K339+K358&gt;1024,N339+1,N339-1))</f>
        <v>-12925</v>
      </c>
      <c r="O363" s="1">
        <f>IF(ABS(M339+M358)&lt;=1024,O339,IF(M339+M358&gt;1024,O339+1,O339-1))</f>
        <v>14197</v>
      </c>
    </row>
    <row r="364" spans="1:19" hidden="1" x14ac:dyDescent="0.2"/>
    <row r="365" spans="1:19" x14ac:dyDescent="0.2">
      <c r="A365" s="25" t="s">
        <v>1232</v>
      </c>
      <c r="H365" s="1"/>
      <c r="K365" s="1"/>
      <c r="L365" s="77"/>
      <c r="M365" s="1"/>
      <c r="N365" s="1"/>
      <c r="O365" s="1"/>
      <c r="P365" s="1"/>
      <c r="Q365" s="1"/>
      <c r="S365" s="77"/>
    </row>
    <row r="366" spans="1:19" x14ac:dyDescent="0.2">
      <c r="A366" s="54"/>
      <c r="C366" s="26" t="str">
        <f>T(IF(ABS(C368-C344)+ABS(E368-E344)&lt;&gt;0,"WARNING:  TILE CHANGE -&gt; other world tile file!",""))</f>
        <v/>
      </c>
      <c r="H366" s="1"/>
      <c r="I366" s="26" t="str">
        <f>T(IF(ABS(I368-I344)+ABS(K368-K344)&lt;&gt;0,"WARNING:  TILE CHANGE -&gt; other world tile file!",""))</f>
        <v/>
      </c>
      <c r="J366" s="1"/>
      <c r="K366" s="1"/>
      <c r="L366" s="1"/>
      <c r="M366" s="1"/>
      <c r="N366" s="1"/>
      <c r="O366" s="1"/>
      <c r="P366" s="1"/>
      <c r="Q366" s="1"/>
    </row>
    <row r="367" spans="1:19" ht="13.5" thickBot="1" x14ac:dyDescent="0.25">
      <c r="B367" s="33" t="s">
        <v>416</v>
      </c>
      <c r="H367" s="1"/>
      <c r="I367" s="26"/>
      <c r="J367" s="1"/>
      <c r="K367" s="1"/>
      <c r="L367" s="1"/>
      <c r="M367" s="1"/>
      <c r="N367" s="1"/>
      <c r="O367" s="1"/>
      <c r="P367" s="1"/>
      <c r="Q367" s="1"/>
    </row>
    <row r="368" spans="1:19" x14ac:dyDescent="0.2">
      <c r="A368" s="109" t="s">
        <v>962</v>
      </c>
      <c r="B368" s="110" t="s">
        <v>28</v>
      </c>
      <c r="C368" s="143">
        <f>N362</f>
        <v>-12925</v>
      </c>
      <c r="D368" s="110" t="s">
        <v>27</v>
      </c>
      <c r="E368" s="143">
        <f>O362</f>
        <v>14197</v>
      </c>
      <c r="F368" s="111"/>
      <c r="G368" s="128" t="s">
        <v>953</v>
      </c>
      <c r="H368" s="118" t="s">
        <v>28</v>
      </c>
      <c r="I368" s="143">
        <f>N363</f>
        <v>-12925</v>
      </c>
      <c r="J368" s="118" t="s">
        <v>27</v>
      </c>
      <c r="K368" s="143">
        <f>O363</f>
        <v>14197</v>
      </c>
      <c r="L368" s="119"/>
    </row>
    <row r="369" spans="1:19" x14ac:dyDescent="0.2">
      <c r="A369" s="112"/>
      <c r="B369" s="114" t="s">
        <v>29</v>
      </c>
      <c r="C369" s="144">
        <f>H362</f>
        <v>0</v>
      </c>
      <c r="D369" s="61"/>
      <c r="E369" s="61"/>
      <c r="F369" s="113"/>
      <c r="G369" s="120"/>
      <c r="H369" s="121" t="s">
        <v>29</v>
      </c>
      <c r="I369" s="144">
        <f>-H362</f>
        <v>0</v>
      </c>
      <c r="J369" s="122"/>
      <c r="K369" s="122"/>
      <c r="L369" s="123"/>
    </row>
    <row r="370" spans="1:19" x14ac:dyDescent="0.2">
      <c r="A370" s="112"/>
      <c r="B370" s="114" t="s">
        <v>26</v>
      </c>
      <c r="C370" s="145" t="str">
        <f>CONCATENATE(TEXT(K362,"0.000")," ",TEXT(L362,"0.000")," ",TEXT(M362,"0.000"))</f>
        <v>-708.023 1.000 -811.074</v>
      </c>
      <c r="D370" s="61"/>
      <c r="E370" s="61"/>
      <c r="F370" s="113"/>
      <c r="G370" s="120"/>
      <c r="H370" s="121" t="s">
        <v>26</v>
      </c>
      <c r="I370" s="145" t="str">
        <f>CONCATENATE(TEXT(K363,"0.000")," ",TEXT(L363,"0.000")," ",TEXT(M363,"0.000"))</f>
        <v>549.811 1.000 -833.632</v>
      </c>
      <c r="J370" s="122"/>
      <c r="K370" s="122"/>
      <c r="L370" s="123"/>
    </row>
    <row r="371" spans="1:19" ht="13.5" thickBot="1" x14ac:dyDescent="0.25">
      <c r="A371" s="115"/>
      <c r="B371" s="116" t="s">
        <v>19</v>
      </c>
      <c r="C371" s="146" t="str">
        <f>I356</f>
        <v>0.000000 0.766044 0.000000 0.642788</v>
      </c>
      <c r="D371" s="60"/>
      <c r="E371" s="60"/>
      <c r="F371" s="117"/>
      <c r="G371" s="124"/>
      <c r="H371" s="125" t="s">
        <v>19</v>
      </c>
      <c r="I371" s="147" t="str">
        <f>N360</f>
        <v>0.000000 -0.573576 0.000000 -0.819152</v>
      </c>
      <c r="J371" s="126"/>
      <c r="K371" s="126"/>
      <c r="L371" s="127"/>
    </row>
    <row r="373" spans="1:19" x14ac:dyDescent="0.2">
      <c r="A373" s="82" t="s">
        <v>964</v>
      </c>
      <c r="B373" s="10"/>
      <c r="C373" s="10"/>
      <c r="D373" s="10"/>
      <c r="E373" s="10"/>
      <c r="F373" s="10"/>
      <c r="G373" s="10"/>
      <c r="H373" s="10"/>
      <c r="I373" s="10"/>
    </row>
    <row r="374" spans="1:19" x14ac:dyDescent="0.2">
      <c r="B374" s="45" t="s">
        <v>32</v>
      </c>
    </row>
    <row r="375" spans="1:19" x14ac:dyDescent="0.2">
      <c r="C375" s="12"/>
      <c r="K375" s="1"/>
      <c r="L375" s="77"/>
      <c r="S375" s="77"/>
    </row>
    <row r="376" spans="1:19" hidden="1" x14ac:dyDescent="0.2">
      <c r="D376" s="1" t="s">
        <v>1214</v>
      </c>
      <c r="E376" s="1" t="s">
        <v>1215</v>
      </c>
      <c r="F376" s="1" t="s">
        <v>1216</v>
      </c>
      <c r="G376" s="1" t="s">
        <v>1217</v>
      </c>
      <c r="I376" s="53" t="s">
        <v>1221</v>
      </c>
      <c r="K376" s="1" t="s">
        <v>40</v>
      </c>
      <c r="L376" s="1" t="s">
        <v>41</v>
      </c>
      <c r="M376" s="1" t="s">
        <v>42</v>
      </c>
      <c r="O376" s="53" t="s">
        <v>1220</v>
      </c>
      <c r="P376" s="1" t="s">
        <v>207</v>
      </c>
    </row>
    <row r="377" spans="1:19" hidden="1" x14ac:dyDescent="0.2">
      <c r="B377" s="1" t="s">
        <v>945</v>
      </c>
      <c r="C377" s="19" t="s">
        <v>1212</v>
      </c>
      <c r="D377" s="19">
        <f>D355</f>
        <v>0.64278760968653958</v>
      </c>
      <c r="E377" s="19">
        <f>E355</f>
        <v>0.7660444431189779</v>
      </c>
      <c r="F377" s="19">
        <f>F355</f>
        <v>0</v>
      </c>
      <c r="G377" s="19">
        <f>G355</f>
        <v>0</v>
      </c>
      <c r="H377" s="19"/>
      <c r="I377" s="19">
        <f>SQRT(K377^2+L377^2+M377^2)</f>
        <v>87.155742747658124</v>
      </c>
      <c r="J377" s="19" t="s">
        <v>961</v>
      </c>
      <c r="K377" s="19">
        <f>K354</f>
        <v>-86.824088833465126</v>
      </c>
      <c r="L377" s="19">
        <f>L354</f>
        <v>0</v>
      </c>
      <c r="M377" s="19">
        <f>M354</f>
        <v>-7.5961234938959556</v>
      </c>
      <c r="N377" s="20" t="s">
        <v>34</v>
      </c>
      <c r="O377" s="1">
        <f>O353</f>
        <v>0.99619469809174555</v>
      </c>
      <c r="P377" s="1">
        <f>P353</f>
        <v>0.98480775301220802</v>
      </c>
    </row>
    <row r="378" spans="1:19" hidden="1" x14ac:dyDescent="0.2">
      <c r="B378" s="1"/>
      <c r="C378" s="19" t="s">
        <v>1213</v>
      </c>
      <c r="D378" s="19">
        <f>D354</f>
        <v>0.99619469809174555</v>
      </c>
      <c r="E378" s="19">
        <f>E354</f>
        <v>8.7155742747658166E-2</v>
      </c>
      <c r="F378" s="19">
        <f>F354</f>
        <v>0</v>
      </c>
      <c r="G378" s="19">
        <f>G354</f>
        <v>0</v>
      </c>
      <c r="H378" s="19"/>
      <c r="I378" s="19">
        <f>SQRT(K378^2+L378^2+M378^2)</f>
        <v>87.15574274765811</v>
      </c>
      <c r="J378" s="19" t="s">
        <v>950</v>
      </c>
      <c r="K378" s="19">
        <f>P377*K377-P378*M377</f>
        <v>-84.185982829369138</v>
      </c>
      <c r="L378" s="19">
        <f>L377</f>
        <v>0</v>
      </c>
      <c r="M378" s="1">
        <f>P378*K377+P377*M377</f>
        <v>-22.557566113149811</v>
      </c>
      <c r="N378" s="20" t="s">
        <v>35</v>
      </c>
      <c r="O378" s="1">
        <f>O354</f>
        <v>8.7155742747658166E-2</v>
      </c>
      <c r="P378" s="1">
        <f>P354</f>
        <v>0.17364817766693033</v>
      </c>
    </row>
    <row r="379" spans="1:19" hidden="1" x14ac:dyDescent="0.2">
      <c r="B379" s="1"/>
      <c r="C379" s="19" t="s">
        <v>1218</v>
      </c>
      <c r="D379" s="19">
        <f>D378*D377-E378*E377-F378*F377-G378*G377</f>
        <v>0.57357643635104638</v>
      </c>
      <c r="E379" s="19">
        <f>D378*E377+E378*D377+F378*G377-G378*F377</f>
        <v>0.81915204428899169</v>
      </c>
      <c r="F379" s="19">
        <f>D378*F377-E378*G377+F378*D377+G378*E377</f>
        <v>0</v>
      </c>
      <c r="G379" s="19">
        <f>D378*G377+E378*F377-F378*E377+G378*D377</f>
        <v>0</v>
      </c>
      <c r="H379" s="19"/>
      <c r="I379" s="19"/>
      <c r="J379" s="19"/>
      <c r="K379" s="19"/>
      <c r="L379" s="19"/>
    </row>
    <row r="380" spans="1:19" hidden="1" x14ac:dyDescent="0.2">
      <c r="B380" s="1"/>
      <c r="C380" s="19" t="s">
        <v>848</v>
      </c>
      <c r="D380" s="19">
        <f>F379</f>
        <v>0</v>
      </c>
      <c r="E380" s="19">
        <f>E379</f>
        <v>0.81915204428899169</v>
      </c>
      <c r="F380" s="19">
        <f>G379</f>
        <v>0</v>
      </c>
      <c r="G380" s="19">
        <f>D379</f>
        <v>0.57357643635104638</v>
      </c>
      <c r="H380" s="19" t="s">
        <v>878</v>
      </c>
      <c r="I380" s="19" t="str">
        <f>CONCATENATE(TEXT(D380,"0.000000")," ",TEXT(E380,"0.000000")," ",TEXT(F380,"0.000000")," ",TEXT(G380,"0.000000"))</f>
        <v>0.000000 0.819152 0.000000 0.573576</v>
      </c>
      <c r="J380" s="19"/>
      <c r="K380" s="19"/>
      <c r="L380" s="19"/>
      <c r="M380" s="1" t="s">
        <v>1188</v>
      </c>
      <c r="N380" s="1" t="str">
        <f>CONCATENATE(TEXT(-F380,"0.000000")," ",TEXT(-G380,"0.000000")," ",TEXT(D380,"0.000000")," ",TEXT(E380,"0.000000"))</f>
        <v>0.000000 -0.573576 0.000000 0.819152</v>
      </c>
    </row>
    <row r="381" spans="1:19" hidden="1" x14ac:dyDescent="0.2">
      <c r="B381" s="1" t="s">
        <v>946</v>
      </c>
      <c r="C381" s="19" t="s">
        <v>1212</v>
      </c>
      <c r="D381" s="19">
        <f>D359</f>
        <v>0.57357643635104638</v>
      </c>
      <c r="E381" s="19">
        <f>E359</f>
        <v>-0.81915204428899169</v>
      </c>
      <c r="F381" s="19">
        <f>F359</f>
        <v>0</v>
      </c>
      <c r="G381" s="19">
        <f>G359</f>
        <v>0</v>
      </c>
      <c r="H381" s="19"/>
      <c r="I381" s="19">
        <f>SQRT(K381^2+L381^2+M381^2)</f>
        <v>87.15574274765811</v>
      </c>
      <c r="J381" s="19" t="s">
        <v>947</v>
      </c>
      <c r="K381" s="19">
        <f>K358</f>
        <v>84.185982829369138</v>
      </c>
      <c r="L381" s="19">
        <f>L358</f>
        <v>0</v>
      </c>
      <c r="M381" s="19">
        <f>M358</f>
        <v>-22.557566113149811</v>
      </c>
      <c r="N381" s="20"/>
      <c r="O381" s="1"/>
    </row>
    <row r="382" spans="1:19" hidden="1" x14ac:dyDescent="0.2">
      <c r="B382" s="1"/>
      <c r="C382" s="19" t="s">
        <v>952</v>
      </c>
      <c r="D382" s="19">
        <f>D358</f>
        <v>0.99619469809174555</v>
      </c>
      <c r="E382" s="19">
        <f>E358</f>
        <v>-8.7155742747658166E-2</v>
      </c>
      <c r="F382" s="19">
        <f>F358</f>
        <v>0</v>
      </c>
      <c r="G382" s="19">
        <f>G358</f>
        <v>0</v>
      </c>
      <c r="H382" s="19"/>
      <c r="I382" s="19">
        <f>SQRT(K382^2+L382^2+M382^2)</f>
        <v>87.155742747658124</v>
      </c>
      <c r="J382" s="19" t="s">
        <v>951</v>
      </c>
      <c r="K382" s="19">
        <f>P377*K381+P378*M381</f>
        <v>78.989928337165594</v>
      </c>
      <c r="L382" s="19">
        <f>L381</f>
        <v>0</v>
      </c>
      <c r="M382" s="1">
        <f>-P378*K381+P377*M381</f>
        <v>-36.833608500734833</v>
      </c>
      <c r="N382" s="20"/>
      <c r="O382" s="1"/>
    </row>
    <row r="383" spans="1:19" hidden="1" x14ac:dyDescent="0.2">
      <c r="B383" s="1"/>
      <c r="C383" s="19" t="s">
        <v>1218</v>
      </c>
      <c r="D383" s="19">
        <f>D382*D381-E382*E381-F382*F381-G382*G381</f>
        <v>0.50000000000000033</v>
      </c>
      <c r="E383" s="19">
        <f>D382*E381+E382*D381+F382*G381-G382*F381</f>
        <v>-0.8660254037844386</v>
      </c>
      <c r="F383" s="19">
        <f>D382*F381-E382*G381+F382*D381+G382*E381</f>
        <v>0</v>
      </c>
      <c r="G383" s="19">
        <f>D382*G381+E382*F381-F382*E381+G382*D381</f>
        <v>0</v>
      </c>
      <c r="H383" s="19"/>
      <c r="I383" s="19"/>
      <c r="J383" s="19"/>
      <c r="K383" s="19"/>
      <c r="L383" s="19"/>
    </row>
    <row r="384" spans="1:19" hidden="1" x14ac:dyDescent="0.2">
      <c r="B384" s="1"/>
      <c r="C384" s="19" t="s">
        <v>848</v>
      </c>
      <c r="D384" s="19">
        <f>F383</f>
        <v>0</v>
      </c>
      <c r="E384" s="19">
        <f>E383</f>
        <v>-0.8660254037844386</v>
      </c>
      <c r="F384" s="19">
        <f>G383</f>
        <v>0</v>
      </c>
      <c r="G384" s="19">
        <f>D383</f>
        <v>0.50000000000000033</v>
      </c>
      <c r="H384" s="19" t="s">
        <v>878</v>
      </c>
      <c r="I384" s="19" t="str">
        <f>CONCATENATE(TEXT(D384,"0.000000")," ",TEXT(E384,"0.000000")," ",TEXT(F384,"0.000000")," ",TEXT(G384,"0.000000"))</f>
        <v>0.000000 -0.866025 0.000000 0.500000</v>
      </c>
      <c r="J384" s="19"/>
      <c r="K384" s="19"/>
      <c r="L384" s="19"/>
      <c r="M384" s="1" t="s">
        <v>1188</v>
      </c>
      <c r="N384" s="1" t="str">
        <f>CONCATENATE(TEXT(-F384,"0.000000")," ",TEXT(-G384,"0.000000")," ",TEXT(D384,"0.000000")," ",TEXT(E384,"0.000000"))</f>
        <v>0.000000 -0.500000 0.000000 -0.866025</v>
      </c>
    </row>
    <row r="385" spans="1:19" hidden="1" x14ac:dyDescent="0.2">
      <c r="A385" s="54"/>
      <c r="B385" s="1"/>
      <c r="C385" s="1"/>
      <c r="D385" s="1"/>
      <c r="E385" s="1"/>
      <c r="F385" s="1"/>
      <c r="G385" s="1"/>
      <c r="H385" s="1" t="s">
        <v>31</v>
      </c>
      <c r="I385" s="1"/>
      <c r="J385" s="1"/>
      <c r="K385" s="1" t="s">
        <v>14</v>
      </c>
      <c r="L385" s="1" t="s">
        <v>15</v>
      </c>
      <c r="M385" s="1" t="s">
        <v>16</v>
      </c>
      <c r="N385" s="1" t="s">
        <v>17</v>
      </c>
      <c r="O385" s="1" t="s">
        <v>18</v>
      </c>
    </row>
    <row r="386" spans="1:19" hidden="1" x14ac:dyDescent="0.2">
      <c r="B386" s="1"/>
      <c r="C386" s="1"/>
      <c r="D386" s="1"/>
      <c r="E386" s="1"/>
      <c r="F386" s="1"/>
      <c r="G386" s="1"/>
      <c r="H386" s="1">
        <f>H362</f>
        <v>0</v>
      </c>
      <c r="I386" s="1"/>
      <c r="J386" s="1" t="s">
        <v>945</v>
      </c>
      <c r="K386" s="1">
        <f>IF(ABS(K362+K378)&lt;=1024,K362+K378,IF(K362+K378&gt;1024,K362+K378-2048,K362+K378+2048))</f>
        <v>-792.20907166283394</v>
      </c>
      <c r="L386" s="1">
        <f>L362+L378</f>
        <v>1</v>
      </c>
      <c r="M386" s="1">
        <f>IF(ABS(M362+M378)&lt;=1024,M362+M378,IF(M362+M378&gt;1024,M362+M378-2048,M362+M378+2048))</f>
        <v>-833.63168960704559</v>
      </c>
      <c r="N386" s="1">
        <f>IF(ABS(K362+K378)&lt;=1024,N362,IF(K362+K378&gt;1024,N362+1,N362-1))</f>
        <v>-12925</v>
      </c>
      <c r="O386" s="1">
        <f>IF(ABS(M362+M378)&lt;=1024,O362,IF(M362+M378&gt;1024,O362+1,O362-1))</f>
        <v>14197</v>
      </c>
    </row>
    <row r="387" spans="1:19" hidden="1" x14ac:dyDescent="0.2">
      <c r="B387" s="1"/>
      <c r="C387" s="1"/>
      <c r="D387" s="1"/>
      <c r="E387" s="1"/>
      <c r="F387" s="1"/>
      <c r="G387" s="1"/>
      <c r="H387" s="1"/>
      <c r="I387" s="1"/>
      <c r="J387" s="1" t="s">
        <v>946</v>
      </c>
      <c r="K387" s="1">
        <f>IF(ABS(K363+K382)&lt;=1024,K363+K382,IF(K363+K382&gt;1024,K363+K382-2048,K363+K382+2048))</f>
        <v>628.80099999999959</v>
      </c>
      <c r="L387" s="1">
        <f>L363+L382</f>
        <v>1</v>
      </c>
      <c r="M387" s="1">
        <f>IF(ABS(M363+M382)&lt;=1024,M363+M382,IF(M363+M382&gt;1024,M363+M382-2048,M363+M382+2048))</f>
        <v>-870.46529810778043</v>
      </c>
      <c r="N387" s="1">
        <f>IF(ABS(K363+K382)&lt;=1024,N363,IF(K363+K382&gt;1024,N363+1,N363-1))</f>
        <v>-12925</v>
      </c>
      <c r="O387" s="1">
        <f>IF(ABS(M363+M382)&lt;=1024,O363,IF(M363+M382&gt;1024,O363+1,O363-1))</f>
        <v>14197</v>
      </c>
    </row>
    <row r="388" spans="1:19" hidden="1" x14ac:dyDescent="0.2"/>
    <row r="389" spans="1:19" x14ac:dyDescent="0.2">
      <c r="A389" s="25" t="s">
        <v>1233</v>
      </c>
      <c r="H389" s="1"/>
      <c r="K389" s="1"/>
      <c r="L389" s="77"/>
      <c r="M389" s="1"/>
      <c r="N389" s="1"/>
      <c r="O389" s="1"/>
      <c r="P389" s="1"/>
      <c r="Q389" s="1"/>
      <c r="S389" s="77"/>
    </row>
    <row r="390" spans="1:19" x14ac:dyDescent="0.2">
      <c r="A390" s="54"/>
      <c r="C390" s="26" t="str">
        <f>T(IF(ABS(C392-C368)+ABS(E392-E368)&lt;&gt;0,"WARNING:  TILE CHANGE -&gt; other world tile file!",""))</f>
        <v/>
      </c>
      <c r="H390" s="1"/>
      <c r="I390" s="26" t="str">
        <f>T(IF(ABS(I392-I368)+ABS(K392-K368)&lt;&gt;0,"WARNING:  TILE CHANGE -&gt; other world tile file!",""))</f>
        <v/>
      </c>
      <c r="J390" s="1"/>
      <c r="K390" s="1"/>
      <c r="L390" s="1"/>
      <c r="M390" s="1"/>
      <c r="N390" s="1"/>
      <c r="O390" s="1"/>
      <c r="P390" s="1"/>
      <c r="Q390" s="1"/>
    </row>
    <row r="391" spans="1:19" ht="13.5" thickBot="1" x14ac:dyDescent="0.25">
      <c r="B391" s="33" t="s">
        <v>416</v>
      </c>
      <c r="H391" s="1"/>
      <c r="I391" s="26"/>
      <c r="J391" s="1"/>
      <c r="K391" s="1"/>
      <c r="L391" s="1"/>
      <c r="M391" s="1"/>
      <c r="N391" s="1"/>
      <c r="O391" s="1"/>
      <c r="P391" s="1"/>
      <c r="Q391" s="1"/>
    </row>
    <row r="392" spans="1:19" x14ac:dyDescent="0.2">
      <c r="A392" s="109" t="s">
        <v>962</v>
      </c>
      <c r="B392" s="110" t="s">
        <v>28</v>
      </c>
      <c r="C392" s="143">
        <f>N386</f>
        <v>-12925</v>
      </c>
      <c r="D392" s="110" t="s">
        <v>27</v>
      </c>
      <c r="E392" s="143">
        <f>O386</f>
        <v>14197</v>
      </c>
      <c r="F392" s="111"/>
      <c r="G392" s="128" t="s">
        <v>953</v>
      </c>
      <c r="H392" s="118" t="s">
        <v>28</v>
      </c>
      <c r="I392" s="143">
        <f>N387</f>
        <v>-12925</v>
      </c>
      <c r="J392" s="118" t="s">
        <v>27</v>
      </c>
      <c r="K392" s="143">
        <f>O387</f>
        <v>14197</v>
      </c>
      <c r="L392" s="119"/>
    </row>
    <row r="393" spans="1:19" x14ac:dyDescent="0.2">
      <c r="A393" s="112"/>
      <c r="B393" s="114" t="s">
        <v>29</v>
      </c>
      <c r="C393" s="144">
        <f>H386</f>
        <v>0</v>
      </c>
      <c r="D393" s="61"/>
      <c r="E393" s="61"/>
      <c r="F393" s="113"/>
      <c r="G393" s="120"/>
      <c r="H393" s="121" t="s">
        <v>29</v>
      </c>
      <c r="I393" s="144">
        <f>-H386</f>
        <v>0</v>
      </c>
      <c r="J393" s="122"/>
      <c r="K393" s="122"/>
      <c r="L393" s="123"/>
    </row>
    <row r="394" spans="1:19" x14ac:dyDescent="0.2">
      <c r="A394" s="112"/>
      <c r="B394" s="114" t="s">
        <v>26</v>
      </c>
      <c r="C394" s="145" t="str">
        <f>CONCATENATE(TEXT(K386,"0.000")," ",TEXT(L386,"0.000")," ",TEXT(M386,"0.000"))</f>
        <v>-792.209 1.000 -833.632</v>
      </c>
      <c r="D394" s="61"/>
      <c r="E394" s="61"/>
      <c r="F394" s="113"/>
      <c r="G394" s="120"/>
      <c r="H394" s="121" t="s">
        <v>26</v>
      </c>
      <c r="I394" s="145" t="str">
        <f>CONCATENATE(TEXT(K387,"0.000")," ",TEXT(L387,"0.000")," ",TEXT(M387,"0.000"))</f>
        <v>628.801 1.000 -870.465</v>
      </c>
      <c r="J394" s="122"/>
      <c r="K394" s="122"/>
      <c r="L394" s="123"/>
    </row>
    <row r="395" spans="1:19" ht="13.5" thickBot="1" x14ac:dyDescent="0.25">
      <c r="A395" s="115"/>
      <c r="B395" s="116" t="s">
        <v>19</v>
      </c>
      <c r="C395" s="146" t="str">
        <f>I380</f>
        <v>0.000000 0.819152 0.000000 0.573576</v>
      </c>
      <c r="D395" s="60"/>
      <c r="E395" s="60"/>
      <c r="F395" s="117"/>
      <c r="G395" s="124"/>
      <c r="H395" s="125" t="s">
        <v>19</v>
      </c>
      <c r="I395" s="147" t="str">
        <f>N384</f>
        <v>0.000000 -0.500000 0.000000 -0.866025</v>
      </c>
      <c r="J395" s="126"/>
      <c r="K395" s="126"/>
      <c r="L395" s="127"/>
    </row>
    <row r="397" spans="1:19" x14ac:dyDescent="0.2">
      <c r="A397" s="82" t="s">
        <v>964</v>
      </c>
      <c r="B397" s="10"/>
      <c r="C397" s="10"/>
      <c r="D397" s="10"/>
      <c r="E397" s="10"/>
      <c r="F397" s="10"/>
      <c r="G397" s="10"/>
      <c r="H397" s="10"/>
      <c r="I397" s="10"/>
    </row>
    <row r="398" spans="1:19" x14ac:dyDescent="0.2">
      <c r="B398" s="45" t="s">
        <v>32</v>
      </c>
    </row>
    <row r="400" spans="1:19" x14ac:dyDescent="0.2">
      <c r="A400" s="82" t="s">
        <v>209</v>
      </c>
      <c r="B400" s="11"/>
      <c r="C400" s="11"/>
      <c r="D400" s="11"/>
      <c r="E400" s="11"/>
      <c r="F400" s="11"/>
      <c r="G400" s="11"/>
      <c r="H400" s="11"/>
    </row>
    <row r="401" spans="1:8" x14ac:dyDescent="0.2">
      <c r="A401" s="54"/>
      <c r="B401" s="82" t="s">
        <v>420</v>
      </c>
      <c r="C401" s="11"/>
      <c r="D401" s="11"/>
      <c r="E401" s="11"/>
      <c r="F401" s="11"/>
      <c r="G401" s="11"/>
      <c r="H401" s="11"/>
    </row>
    <row r="402" spans="1:8" x14ac:dyDescent="0.2">
      <c r="A402" s="44"/>
      <c r="B402" t="s">
        <v>146</v>
      </c>
    </row>
    <row r="403" spans="1:8" x14ac:dyDescent="0.2">
      <c r="A403" s="44"/>
    </row>
    <row r="404" spans="1:8" x14ac:dyDescent="0.2">
      <c r="A404" s="82" t="s">
        <v>419</v>
      </c>
      <c r="B404" s="10"/>
      <c r="C404" s="10"/>
      <c r="D404" s="10"/>
      <c r="E404" s="10"/>
    </row>
    <row r="405" spans="1:8" x14ac:dyDescent="0.2">
      <c r="A405" s="44"/>
    </row>
    <row r="406" spans="1:8" x14ac:dyDescent="0.2">
      <c r="A406" s="13" t="s">
        <v>561</v>
      </c>
    </row>
    <row r="407" spans="1:8" x14ac:dyDescent="0.2">
      <c r="A407" s="13"/>
      <c r="B407" t="s">
        <v>83</v>
      </c>
    </row>
    <row r="408" spans="1:8" x14ac:dyDescent="0.2">
      <c r="A408" s="13" t="s">
        <v>567</v>
      </c>
    </row>
    <row r="409" spans="1:8" x14ac:dyDescent="0.2">
      <c r="A409" s="13"/>
      <c r="B409" t="s">
        <v>562</v>
      </c>
    </row>
    <row r="410" spans="1:8" x14ac:dyDescent="0.2">
      <c r="A410" s="13"/>
    </row>
    <row r="411" spans="1:8" x14ac:dyDescent="0.2">
      <c r="A411" s="82" t="s">
        <v>217</v>
      </c>
      <c r="B411" s="10"/>
      <c r="C411" s="10"/>
      <c r="D411" s="10"/>
      <c r="E411" s="10"/>
      <c r="F411" s="10"/>
      <c r="G411" s="10"/>
      <c r="H411" s="10"/>
    </row>
    <row r="412" spans="1:8" x14ac:dyDescent="0.2">
      <c r="A412" s="41"/>
    </row>
    <row r="413" spans="1:8" x14ac:dyDescent="0.2">
      <c r="A413" s="41" t="s">
        <v>132</v>
      </c>
    </row>
    <row r="414" spans="1:8" x14ac:dyDescent="0.2">
      <c r="A414" s="41" t="s">
        <v>584</v>
      </c>
    </row>
    <row r="415" spans="1:8" x14ac:dyDescent="0.2">
      <c r="A415" s="41"/>
    </row>
    <row r="416" spans="1:8" x14ac:dyDescent="0.2">
      <c r="A416" s="82" t="s">
        <v>219</v>
      </c>
      <c r="B416" s="10"/>
    </row>
    <row r="417" spans="1:26" ht="13.5" thickBot="1" x14ac:dyDescent="0.25">
      <c r="A417" s="4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7"/>
  <sheetViews>
    <sheetView workbookViewId="0">
      <selection activeCell="A2" sqref="A2"/>
    </sheetView>
  </sheetViews>
  <sheetFormatPr defaultRowHeight="12.75" x14ac:dyDescent="0.2"/>
  <cols>
    <col min="13" max="19" width="0" hidden="1" customWidth="1"/>
  </cols>
  <sheetData>
    <row r="1" spans="1:6" s="5" customFormat="1" x14ac:dyDescent="0.2">
      <c r="A1" s="14" t="s">
        <v>1079</v>
      </c>
      <c r="B1" s="14"/>
    </row>
    <row r="3" spans="1:6" x14ac:dyDescent="0.2">
      <c r="A3" s="33" t="s">
        <v>1092</v>
      </c>
    </row>
    <row r="4" spans="1:6" x14ac:dyDescent="0.2">
      <c r="B4" t="s">
        <v>1189</v>
      </c>
    </row>
    <row r="5" spans="1:6" x14ac:dyDescent="0.2">
      <c r="B5" t="s">
        <v>1190</v>
      </c>
    </row>
    <row r="7" spans="1:6" x14ac:dyDescent="0.2">
      <c r="A7" t="s">
        <v>1191</v>
      </c>
    </row>
    <row r="8" spans="1:6" x14ac:dyDescent="0.2">
      <c r="B8" t="s">
        <v>832</v>
      </c>
    </row>
    <row r="9" spans="1:6" x14ac:dyDescent="0.2">
      <c r="B9" t="s">
        <v>222</v>
      </c>
    </row>
    <row r="10" spans="1:6" x14ac:dyDescent="0.2">
      <c r="A10" s="26"/>
    </row>
    <row r="11" spans="1:6" x14ac:dyDescent="0.2">
      <c r="A11" s="13" t="s">
        <v>1093</v>
      </c>
    </row>
    <row r="13" spans="1:6" x14ac:dyDescent="0.2">
      <c r="A13" t="s">
        <v>540</v>
      </c>
      <c r="B13" s="57" t="s">
        <v>1106</v>
      </c>
    </row>
    <row r="14" spans="1:6" x14ac:dyDescent="0.2">
      <c r="B14" s="57" t="s">
        <v>457</v>
      </c>
    </row>
    <row r="15" spans="1:6" s="28" customFormat="1" ht="13.5" thickBot="1" x14ac:dyDescent="0.25"/>
    <row r="16" spans="1:6" s="27" customFormat="1" x14ac:dyDescent="0.2">
      <c r="A16" s="8" t="s">
        <v>544</v>
      </c>
      <c r="B16" s="8"/>
      <c r="C16" s="8"/>
      <c r="D16" s="8"/>
      <c r="E16" s="8"/>
      <c r="F16" s="8"/>
    </row>
    <row r="17" spans="1:27" x14ac:dyDescent="0.2">
      <c r="A17" s="15"/>
      <c r="B17" s="15"/>
      <c r="C17" s="15"/>
      <c r="D17" s="15"/>
      <c r="E17" s="15"/>
      <c r="F17" s="15"/>
      <c r="G17" s="2"/>
      <c r="H17" s="2"/>
    </row>
    <row r="18" spans="1:27" x14ac:dyDescent="0.2">
      <c r="A18" s="82" t="s">
        <v>53</v>
      </c>
      <c r="B18" s="11"/>
      <c r="C18" s="11"/>
      <c r="D18" s="11"/>
      <c r="E18" s="11"/>
      <c r="F18" s="11"/>
    </row>
    <row r="20" spans="1:27" x14ac:dyDescent="0.2">
      <c r="A20" t="s">
        <v>1203</v>
      </c>
    </row>
    <row r="21" spans="1:27" x14ac:dyDescent="0.2">
      <c r="B21" t="s">
        <v>697</v>
      </c>
    </row>
    <row r="23" spans="1:27" x14ac:dyDescent="0.2">
      <c r="A23" t="s">
        <v>1205</v>
      </c>
    </row>
    <row r="25" spans="1:27" x14ac:dyDescent="0.2">
      <c r="A25" t="s">
        <v>1204</v>
      </c>
    </row>
    <row r="27" spans="1:27" x14ac:dyDescent="0.2">
      <c r="A27" t="s">
        <v>1198</v>
      </c>
    </row>
    <row r="28" spans="1:27" x14ac:dyDescent="0.2">
      <c r="B28" t="s">
        <v>956</v>
      </c>
    </row>
    <row r="29" spans="1:27" x14ac:dyDescent="0.2">
      <c r="B29" t="s">
        <v>738</v>
      </c>
    </row>
    <row r="31" spans="1:27" x14ac:dyDescent="0.2">
      <c r="A31" s="82" t="s">
        <v>1195</v>
      </c>
      <c r="B31" s="11"/>
      <c r="C31" s="11"/>
      <c r="D31" s="11"/>
      <c r="E31" s="70">
        <v>1</v>
      </c>
      <c r="F31" s="26" t="str">
        <f>IF(AND(E31&lt;&gt;1,E31&lt;&gt;2),T("SELECT 1 OR 2!"),T(""))</f>
        <v/>
      </c>
      <c r="T31" s="1"/>
      <c r="U31" s="1"/>
      <c r="V31" s="1"/>
    </row>
    <row r="32" spans="1:27" x14ac:dyDescent="0.2">
      <c r="P32" s="19" t="s">
        <v>937</v>
      </c>
      <c r="Q32" s="19" t="s">
        <v>938</v>
      </c>
      <c r="R32" s="19" t="s">
        <v>939</v>
      </c>
      <c r="S32" s="19" t="s">
        <v>940</v>
      </c>
      <c r="T32" s="1"/>
      <c r="U32" s="1"/>
      <c r="V32" s="1"/>
      <c r="W32" s="34"/>
      <c r="X32" s="1"/>
      <c r="Y32" s="34"/>
      <c r="Z32" s="34"/>
      <c r="AA32" s="1"/>
    </row>
    <row r="33" spans="1:27" x14ac:dyDescent="0.2">
      <c r="A33" s="55" t="s">
        <v>1193</v>
      </c>
      <c r="B33" t="s">
        <v>1196</v>
      </c>
      <c r="I33" s="67" t="s">
        <v>934</v>
      </c>
      <c r="O33" s="1" t="s">
        <v>936</v>
      </c>
      <c r="P33" s="19">
        <f>VALUE(MID(I33,1,P34-1))</f>
        <v>2.6176899999999999E-2</v>
      </c>
      <c r="Q33" s="19">
        <f>VALUE(MID(I33,P34+1,Q34-P34-1))</f>
        <v>1.3085499999999999E-3</v>
      </c>
      <c r="R33" s="19">
        <f>VALUE(MID(I33,Q34+1,R34-Q34-1))</f>
        <v>3.4265499999999999E-5</v>
      </c>
      <c r="S33" s="19">
        <f>VALUE(MID(I33,R34+1,S34-R34))</f>
        <v>0.99965700000000002</v>
      </c>
      <c r="T33" s="1"/>
      <c r="U33" s="1"/>
      <c r="V33" s="1"/>
      <c r="W33" s="1"/>
      <c r="X33" s="1"/>
      <c r="Y33" s="1"/>
      <c r="Z33" s="1"/>
      <c r="AA33" s="1"/>
    </row>
    <row r="34" spans="1:27" x14ac:dyDescent="0.2">
      <c r="A34" s="42"/>
      <c r="C34" t="s">
        <v>175</v>
      </c>
      <c r="I34" s="2"/>
      <c r="P34" s="1">
        <f>SEARCH(" ",I33,1)</f>
        <v>10</v>
      </c>
      <c r="Q34" s="1">
        <f>SEARCH(" ",I33,P34+1)</f>
        <v>21</v>
      </c>
      <c r="R34" s="1">
        <f>SEARCH(" ",I33,Q34+1)</f>
        <v>34</v>
      </c>
      <c r="S34" s="1">
        <f>LEN(I33)</f>
        <v>42</v>
      </c>
      <c r="T34" s="19"/>
      <c r="U34" s="2"/>
      <c r="V34" s="2"/>
      <c r="W34" s="2"/>
      <c r="X34" s="2"/>
      <c r="Y34" s="2"/>
      <c r="Z34" s="2"/>
      <c r="AA34" s="2"/>
    </row>
    <row r="35" spans="1:27" x14ac:dyDescent="0.2">
      <c r="A35" s="42"/>
      <c r="B35" t="s">
        <v>540</v>
      </c>
      <c r="C35" t="s">
        <v>1192</v>
      </c>
      <c r="I35" s="2"/>
      <c r="P35" s="1"/>
      <c r="Q35" s="1"/>
      <c r="R35" s="1"/>
      <c r="S35" s="1"/>
      <c r="T35" s="19"/>
      <c r="U35" s="2"/>
      <c r="V35" s="2"/>
      <c r="W35" s="2"/>
      <c r="X35" s="2"/>
      <c r="Y35" s="2"/>
      <c r="Z35" s="2"/>
      <c r="AA35" s="2"/>
    </row>
    <row r="36" spans="1:27" x14ac:dyDescent="0.2">
      <c r="A36" s="42"/>
      <c r="C36" t="s">
        <v>955</v>
      </c>
      <c r="I36" s="2"/>
      <c r="P36" s="1"/>
      <c r="Q36" s="1"/>
      <c r="R36" s="1"/>
      <c r="S36" s="1"/>
      <c r="T36" s="19"/>
      <c r="U36" s="2"/>
      <c r="V36" s="2"/>
      <c r="W36" s="2"/>
      <c r="X36" s="2"/>
      <c r="Y36" s="2"/>
      <c r="Z36" s="2"/>
      <c r="AA36" s="2"/>
    </row>
    <row r="37" spans="1:27" x14ac:dyDescent="0.2">
      <c r="A37" s="42"/>
      <c r="C37" t="s">
        <v>958</v>
      </c>
      <c r="I37" s="2"/>
      <c r="P37" s="1"/>
      <c r="Q37" s="1"/>
      <c r="R37" s="1"/>
      <c r="S37" s="1"/>
      <c r="T37" s="19"/>
      <c r="U37" s="2"/>
      <c r="V37" s="2"/>
      <c r="W37" s="2"/>
      <c r="X37" s="2"/>
      <c r="Y37" s="2"/>
      <c r="Z37" s="2"/>
      <c r="AA37" s="2"/>
    </row>
    <row r="38" spans="1:27" x14ac:dyDescent="0.2">
      <c r="A38" s="42"/>
      <c r="I38" s="2"/>
      <c r="P38" s="1"/>
      <c r="Q38" s="1"/>
      <c r="R38" s="1"/>
      <c r="S38" s="1"/>
      <c r="T38" s="19"/>
      <c r="U38" s="2"/>
      <c r="V38" s="2"/>
      <c r="W38" s="2"/>
      <c r="X38" s="2"/>
      <c r="Y38" s="2"/>
      <c r="Z38" s="2"/>
      <c r="AA38" s="2"/>
    </row>
    <row r="39" spans="1:27" x14ac:dyDescent="0.2">
      <c r="A39" s="55" t="s">
        <v>1194</v>
      </c>
      <c r="B39" t="s">
        <v>925</v>
      </c>
      <c r="L39" s="59"/>
      <c r="O39" s="1" t="s">
        <v>941</v>
      </c>
      <c r="P39" s="1" t="s">
        <v>940</v>
      </c>
      <c r="Q39" s="1" t="s">
        <v>938</v>
      </c>
      <c r="R39" s="1" t="s">
        <v>937</v>
      </c>
      <c r="S39" s="1" t="s">
        <v>939</v>
      </c>
      <c r="T39" s="59"/>
      <c r="U39" s="19"/>
      <c r="V39" s="19"/>
      <c r="W39" s="21"/>
      <c r="X39" s="2"/>
      <c r="Y39" s="2"/>
      <c r="Z39" s="2"/>
      <c r="AA39" s="2"/>
    </row>
    <row r="40" spans="1:27" hidden="1" x14ac:dyDescent="0.2">
      <c r="A40" s="26"/>
      <c r="D40" s="1" t="s">
        <v>940</v>
      </c>
      <c r="E40" s="1" t="s">
        <v>938</v>
      </c>
      <c r="F40" s="1" t="s">
        <v>937</v>
      </c>
      <c r="G40" s="1" t="s">
        <v>939</v>
      </c>
      <c r="P40" s="19">
        <f>S33</f>
        <v>0.99965700000000002</v>
      </c>
      <c r="Q40" s="19">
        <f>Q33</f>
        <v>1.3085499999999999E-3</v>
      </c>
      <c r="R40" s="19">
        <f>P33</f>
        <v>2.6176899999999999E-2</v>
      </c>
      <c r="S40" s="19">
        <f>R33</f>
        <v>3.4265499999999999E-5</v>
      </c>
      <c r="T40" s="19"/>
      <c r="U40" s="19"/>
      <c r="V40" s="19"/>
      <c r="W40" s="21"/>
      <c r="X40" s="2"/>
      <c r="Y40" s="2"/>
      <c r="Z40" s="2"/>
      <c r="AA40" s="2"/>
    </row>
    <row r="41" spans="1:27" hidden="1" x14ac:dyDescent="0.2">
      <c r="B41" s="1" t="s">
        <v>957</v>
      </c>
      <c r="D41" s="1">
        <f>'Turn about OBJECT axes'!H143</f>
        <v>6.124639640933683E-17</v>
      </c>
      <c r="E41" s="1">
        <f>'Turn about OBJECT axes'!I143</f>
        <v>1.1626046262855349E-18</v>
      </c>
      <c r="F41" s="1">
        <f>'Turn about OBJECT axes'!J143</f>
        <v>-1.8979004457047338E-2</v>
      </c>
      <c r="G41" s="1">
        <f>'Turn about OBJECT axes'!K143</f>
        <v>0.99982023479872872</v>
      </c>
      <c r="H41" s="19" t="s">
        <v>36</v>
      </c>
      <c r="I41" s="19" t="s">
        <v>37</v>
      </c>
      <c r="J41" s="19" t="s">
        <v>38</v>
      </c>
      <c r="K41" s="19" t="s">
        <v>882</v>
      </c>
      <c r="L41" s="19" t="s">
        <v>881</v>
      </c>
      <c r="M41" s="19" t="s">
        <v>499</v>
      </c>
      <c r="N41" s="19"/>
      <c r="O41" s="19"/>
    </row>
    <row r="42" spans="1:27" hidden="1" x14ac:dyDescent="0.2">
      <c r="B42" s="1" t="s">
        <v>552</v>
      </c>
      <c r="C42" s="1"/>
      <c r="D42" s="1">
        <f>IF(E31=1,P40,D41)</f>
        <v>0.99965700000000002</v>
      </c>
      <c r="E42" s="1">
        <f>IF(E31=1,Q40,E41)</f>
        <v>1.3085499999999999E-3</v>
      </c>
      <c r="F42" s="1">
        <f>IF(E31=1,R40,F41)</f>
        <v>2.6176899999999999E-2</v>
      </c>
      <c r="G42" s="1">
        <f>IF(E31=1,S40,G41)</f>
        <v>3.4265499999999999E-5</v>
      </c>
      <c r="H42" s="19">
        <f>-2*D42*E42+2*F42*G42</f>
        <v>-2.6144084055660997E-3</v>
      </c>
      <c r="I42" s="19">
        <f>2*D42*F42+2*E42*G42</f>
        <v>5.2335932322840055E-2</v>
      </c>
      <c r="J42" s="19">
        <f>D42*D42-E42*E42-F42*F42+G42*G42</f>
        <v>0.99862717642641197</v>
      </c>
      <c r="K42" s="19">
        <f>IF(ABS(I42)&lt;0.99999,ATAN(I42/SQRT(H42*H42+J42*J42)),SIGN(I42)*1000)</f>
        <v>5.2359797990809073E-2</v>
      </c>
      <c r="L42" s="19">
        <f>IF(ABS(I42)&lt;0.99999,180/PI()*ATAN(I42/SQRT(H42*H42+J42*J42)),SIGN(I42)*90)</f>
        <v>2.9999954410309275</v>
      </c>
      <c r="M42" s="19">
        <f>IF(ABS(H42)&gt;0.00001,IF(H42&gt;0,90-180/PI()*ATAN(J42/H42),-90-180/PI()*ATAN(J42/H42)),-90+SIGN(J42)*90)</f>
        <v>-0.15000014907705861</v>
      </c>
      <c r="N42" s="19"/>
      <c r="O42" s="19"/>
    </row>
    <row r="43" spans="1:27" hidden="1" x14ac:dyDescent="0.2">
      <c r="B43" s="1" t="s">
        <v>848</v>
      </c>
      <c r="C43" s="1"/>
      <c r="D43" s="1">
        <f>F42</f>
        <v>2.6176899999999999E-2</v>
      </c>
      <c r="E43" s="1">
        <f>E42</f>
        <v>1.3085499999999999E-3</v>
      </c>
      <c r="F43" s="1">
        <f>G42</f>
        <v>3.4265499999999999E-5</v>
      </c>
      <c r="G43" s="1">
        <f>D42</f>
        <v>0.99965700000000002</v>
      </c>
      <c r="H43" s="19"/>
      <c r="I43" s="19"/>
      <c r="J43" s="19"/>
      <c r="K43" s="19"/>
      <c r="L43" s="19"/>
      <c r="M43" s="19"/>
      <c r="N43" s="19"/>
      <c r="O43" s="19"/>
    </row>
    <row r="44" spans="1:27" hidden="1" x14ac:dyDescent="0.2">
      <c r="B44" s="1" t="s">
        <v>19</v>
      </c>
      <c r="C44" s="1"/>
      <c r="D44" s="19" t="str">
        <f>CONCATENATE(TEXT(D43,"0.000000")," ",TEXT(E43,"0.000000")," ",TEXT(F43,"0.000000")," ",TEXT(G43,"0.000000"))</f>
        <v>0.026177 0.001309 0.000034 0.999657</v>
      </c>
      <c r="E44" s="1"/>
      <c r="F44" s="1"/>
      <c r="G44" s="1"/>
      <c r="H44" s="19"/>
      <c r="I44" s="19"/>
      <c r="J44" s="19"/>
      <c r="K44" s="19"/>
      <c r="L44" s="19"/>
      <c r="M44" s="19"/>
      <c r="N44" s="19"/>
      <c r="O44" s="19"/>
    </row>
    <row r="45" spans="1:27" x14ac:dyDescent="0.2">
      <c r="B45" s="1"/>
      <c r="C45" s="1"/>
      <c r="D45" s="19"/>
      <c r="E45" s="1"/>
      <c r="F45" s="1"/>
      <c r="G45" s="1"/>
      <c r="H45" s="19"/>
      <c r="I45" s="19"/>
      <c r="J45" s="19"/>
      <c r="K45" s="19"/>
      <c r="L45" s="59"/>
      <c r="M45" s="19"/>
      <c r="N45" s="19"/>
      <c r="O45" s="19"/>
      <c r="T45" s="59"/>
    </row>
    <row r="46" spans="1:27" x14ac:dyDescent="0.2">
      <c r="A46" s="82" t="s">
        <v>1094</v>
      </c>
      <c r="B46" s="11"/>
      <c r="C46" s="11"/>
      <c r="D46" s="19"/>
      <c r="E46" s="1"/>
      <c r="F46" s="1"/>
      <c r="G46" s="1"/>
      <c r="H46" s="19"/>
      <c r="I46" s="19"/>
      <c r="J46" s="19"/>
      <c r="K46" s="19"/>
      <c r="L46" s="19"/>
      <c r="M46" s="19"/>
      <c r="N46" s="19"/>
      <c r="O46" s="19"/>
    </row>
    <row r="47" spans="1:27" x14ac:dyDescent="0.2">
      <c r="B47" s="1"/>
      <c r="C47" s="1"/>
      <c r="D47" s="19"/>
      <c r="E47" s="1"/>
      <c r="F47" s="1"/>
      <c r="G47" s="1"/>
      <c r="H47" s="19"/>
      <c r="I47" s="19"/>
      <c r="J47" s="19"/>
      <c r="K47" s="19"/>
      <c r="L47" s="19"/>
      <c r="M47" s="19"/>
      <c r="N47" s="19"/>
      <c r="O47" s="19"/>
    </row>
    <row r="48" spans="1:27" x14ac:dyDescent="0.2">
      <c r="A48" t="s">
        <v>608</v>
      </c>
      <c r="B48" s="41"/>
      <c r="C48" s="1"/>
      <c r="D48" s="19"/>
      <c r="E48" s="1"/>
      <c r="F48" s="1"/>
      <c r="G48" s="1"/>
      <c r="H48" s="19"/>
      <c r="I48" s="19"/>
      <c r="J48" s="19"/>
      <c r="K48" s="19"/>
      <c r="L48" s="19"/>
      <c r="M48" s="19"/>
      <c r="N48" s="19"/>
      <c r="O48" s="19"/>
    </row>
    <row r="49" spans="1:17" x14ac:dyDescent="0.2">
      <c r="B49" s="41" t="s">
        <v>606</v>
      </c>
      <c r="C49" s="1"/>
      <c r="D49" s="19"/>
      <c r="E49" s="1"/>
      <c r="F49" s="1"/>
      <c r="G49" s="1"/>
      <c r="H49" s="19"/>
      <c r="I49" s="19"/>
      <c r="J49" s="19"/>
      <c r="K49" s="19"/>
      <c r="L49" s="19"/>
      <c r="M49" s="19"/>
      <c r="N49" s="19"/>
      <c r="O49" s="19"/>
    </row>
    <row r="50" spans="1:17" x14ac:dyDescent="0.2">
      <c r="B50" s="41" t="s">
        <v>607</v>
      </c>
      <c r="C50" s="1"/>
      <c r="D50" s="19"/>
      <c r="E50" s="1"/>
      <c r="F50" s="1"/>
      <c r="G50" s="1"/>
      <c r="H50" s="19"/>
      <c r="I50" s="19"/>
      <c r="J50" s="19"/>
      <c r="K50" s="19"/>
      <c r="L50" s="19"/>
      <c r="M50" s="19"/>
      <c r="N50" s="19"/>
      <c r="O50" s="19"/>
    </row>
    <row r="51" spans="1:17" x14ac:dyDescent="0.2">
      <c r="C51" s="1"/>
      <c r="D51" s="19"/>
      <c r="E51" s="1"/>
      <c r="F51" s="1"/>
      <c r="G51" s="1"/>
      <c r="H51" s="19"/>
      <c r="I51" s="19"/>
      <c r="J51" s="19"/>
      <c r="K51" s="19"/>
      <c r="L51" s="19"/>
      <c r="M51" s="19"/>
      <c r="N51" s="19"/>
      <c r="O51" s="19"/>
    </row>
    <row r="52" spans="1:17" x14ac:dyDescent="0.2">
      <c r="A52" s="82" t="s">
        <v>1199</v>
      </c>
      <c r="B52" s="11"/>
      <c r="C52" s="11"/>
      <c r="D52" s="70">
        <v>173</v>
      </c>
      <c r="E52" t="s">
        <v>1202</v>
      </c>
      <c r="F52" s="1"/>
      <c r="G52" s="1"/>
      <c r="H52" s="19"/>
      <c r="I52" s="19"/>
      <c r="J52" s="19"/>
      <c r="K52" s="19"/>
      <c r="L52" s="19"/>
      <c r="M52" s="19"/>
      <c r="N52" s="19"/>
      <c r="O52" s="19"/>
    </row>
    <row r="53" spans="1:17" x14ac:dyDescent="0.2">
      <c r="A53" s="47"/>
      <c r="F53" s="1"/>
      <c r="G53" s="1"/>
      <c r="H53" s="19"/>
      <c r="I53" s="19"/>
      <c r="J53" s="19"/>
      <c r="K53" s="19"/>
      <c r="L53" s="19"/>
      <c r="M53" s="19"/>
      <c r="N53" s="19"/>
      <c r="O53" s="19"/>
    </row>
    <row r="54" spans="1:17" x14ac:dyDescent="0.2">
      <c r="A54" s="82" t="s">
        <v>1095</v>
      </c>
      <c r="B54" s="11"/>
      <c r="C54" s="11"/>
      <c r="D54" s="19"/>
      <c r="E54" s="1"/>
      <c r="F54" s="1"/>
      <c r="G54" s="1"/>
      <c r="H54" s="19"/>
      <c r="I54" s="19"/>
      <c r="J54" s="19"/>
      <c r="K54" s="19"/>
      <c r="L54" s="19"/>
      <c r="M54" s="19"/>
      <c r="N54" s="19"/>
      <c r="O54" s="19"/>
    </row>
    <row r="55" spans="1:17" x14ac:dyDescent="0.2">
      <c r="B55" s="1"/>
      <c r="C55" s="1"/>
      <c r="D55" s="19"/>
      <c r="E55" s="1"/>
      <c r="F55" s="1"/>
      <c r="G55" s="1"/>
      <c r="H55" s="19"/>
      <c r="I55" s="19"/>
      <c r="J55" s="19"/>
      <c r="K55" s="19"/>
      <c r="L55" s="19"/>
      <c r="M55" s="19"/>
      <c r="N55" s="19"/>
      <c r="O55" s="19"/>
    </row>
    <row r="56" spans="1:17" x14ac:dyDescent="0.2">
      <c r="B56" s="82" t="s">
        <v>223</v>
      </c>
      <c r="C56" s="11"/>
      <c r="D56" s="11"/>
      <c r="E56" s="11"/>
      <c r="F56" s="70">
        <v>1</v>
      </c>
      <c r="G56" s="129" t="str">
        <f>T(IF(F56&lt;&gt;1,IF(F56&lt;&gt;2,"INCORRECT CHOICE!","right turn selected"),"left turn selected"))</f>
        <v>left turn selected</v>
      </c>
      <c r="H56" s="19"/>
      <c r="L56" s="19"/>
      <c r="M56" s="19" t="s">
        <v>651</v>
      </c>
      <c r="N56" s="19">
        <f>IF(F56=1,1,-1)</f>
        <v>1</v>
      </c>
      <c r="O56" s="19"/>
    </row>
    <row r="57" spans="1:17" x14ac:dyDescent="0.2">
      <c r="B57" s="13"/>
      <c r="C57" s="1"/>
      <c r="D57" s="19"/>
      <c r="E57" s="1"/>
      <c r="F57" s="1"/>
      <c r="G57" s="1"/>
      <c r="H57" s="19"/>
      <c r="I57" s="19"/>
      <c r="J57" s="19"/>
      <c r="K57" s="19"/>
      <c r="L57" s="19"/>
      <c r="M57" s="19"/>
      <c r="N57" s="19"/>
      <c r="O57" s="19"/>
    </row>
    <row r="58" spans="1:17" x14ac:dyDescent="0.2">
      <c r="A58" s="82" t="s">
        <v>1096</v>
      </c>
      <c r="B58" s="11"/>
      <c r="C58" s="11"/>
      <c r="D58" s="11"/>
    </row>
    <row r="60" spans="1:17" x14ac:dyDescent="0.2">
      <c r="A60" s="41" t="s">
        <v>1206</v>
      </c>
    </row>
    <row r="61" spans="1:17" x14ac:dyDescent="0.2">
      <c r="A61" s="41"/>
      <c r="B61" t="s">
        <v>603</v>
      </c>
    </row>
    <row r="62" spans="1:17" x14ac:dyDescent="0.2">
      <c r="A62" s="41" t="s">
        <v>24</v>
      </c>
    </row>
    <row r="63" spans="1:17" x14ac:dyDescent="0.2">
      <c r="B63" s="12" t="s">
        <v>1207</v>
      </c>
    </row>
    <row r="64" spans="1:17" x14ac:dyDescent="0.2">
      <c r="A64" s="13"/>
      <c r="C64" s="1"/>
      <c r="D64" s="19"/>
      <c r="E64" s="1"/>
      <c r="G64" s="13"/>
      <c r="I64" s="1"/>
      <c r="J64" s="53"/>
      <c r="K64" s="1"/>
      <c r="L64" s="1"/>
      <c r="M64" s="1"/>
      <c r="N64" s="1"/>
      <c r="P64" s="53"/>
      <c r="Q64" s="1"/>
    </row>
    <row r="65" spans="1:20" x14ac:dyDescent="0.2">
      <c r="A65" s="82" t="s">
        <v>554</v>
      </c>
      <c r="B65" s="11"/>
      <c r="C65" s="11"/>
      <c r="D65" s="70">
        <v>29.62</v>
      </c>
      <c r="E65" t="s">
        <v>12</v>
      </c>
      <c r="L65" s="1"/>
      <c r="M65" s="1" t="s">
        <v>935</v>
      </c>
      <c r="N65" s="1">
        <v>29.62</v>
      </c>
      <c r="O65" s="20"/>
      <c r="P65" s="1"/>
      <c r="Q65" s="1"/>
    </row>
    <row r="66" spans="1:20" x14ac:dyDescent="0.2">
      <c r="D66" s="1"/>
      <c r="E66" s="1"/>
      <c r="F66" s="1"/>
      <c r="G66" s="1"/>
      <c r="H66" s="1"/>
      <c r="I66" s="1"/>
      <c r="J66" s="1"/>
      <c r="L66" s="1"/>
      <c r="O66" s="20"/>
      <c r="P66" s="1"/>
      <c r="Q66" s="1"/>
    </row>
    <row r="67" spans="1:20" x14ac:dyDescent="0.2">
      <c r="A67" s="82" t="s">
        <v>1097</v>
      </c>
      <c r="B67" s="11"/>
      <c r="C67" s="11"/>
      <c r="D67" s="11"/>
      <c r="E67" s="11"/>
      <c r="F67" s="11"/>
      <c r="H67" s="1"/>
      <c r="I67" s="1"/>
      <c r="J67" s="1"/>
    </row>
    <row r="68" spans="1:20" x14ac:dyDescent="0.2">
      <c r="H68" s="1"/>
      <c r="I68" s="1"/>
      <c r="J68" s="1"/>
    </row>
    <row r="69" spans="1:20" x14ac:dyDescent="0.2">
      <c r="A69" t="s">
        <v>622</v>
      </c>
      <c r="H69" s="1"/>
      <c r="I69" s="1"/>
      <c r="J69" s="1"/>
    </row>
    <row r="70" spans="1:20" x14ac:dyDescent="0.2">
      <c r="B70" t="s">
        <v>623</v>
      </c>
      <c r="H70" s="1"/>
      <c r="I70" s="1"/>
      <c r="J70" s="1"/>
    </row>
    <row r="71" spans="1:20" x14ac:dyDescent="0.2">
      <c r="H71" s="1"/>
      <c r="I71" s="1"/>
      <c r="J71" s="1"/>
    </row>
    <row r="72" spans="1:20" x14ac:dyDescent="0.2">
      <c r="A72" s="47" t="s">
        <v>609</v>
      </c>
      <c r="H72" s="1"/>
      <c r="I72" s="1"/>
      <c r="J72" s="1"/>
    </row>
    <row r="73" spans="1:20" x14ac:dyDescent="0.2">
      <c r="H73" s="1"/>
      <c r="I73" s="1"/>
      <c r="J73" s="1"/>
    </row>
    <row r="74" spans="1:20" x14ac:dyDescent="0.2">
      <c r="A74" s="82" t="s">
        <v>604</v>
      </c>
      <c r="B74" s="11"/>
      <c r="C74" s="11"/>
      <c r="D74" s="70">
        <v>6.05</v>
      </c>
      <c r="E74" t="s">
        <v>605</v>
      </c>
      <c r="H74" s="1"/>
      <c r="I74" s="1"/>
      <c r="J74" s="1"/>
      <c r="N74" s="1" t="s">
        <v>935</v>
      </c>
      <c r="O74">
        <v>6.05</v>
      </c>
    </row>
    <row r="75" spans="1:20" x14ac:dyDescent="0.2">
      <c r="A75" s="82" t="s">
        <v>602</v>
      </c>
      <c r="B75" s="11"/>
      <c r="C75" s="11"/>
      <c r="D75" s="70">
        <v>1.0449999999999999</v>
      </c>
      <c r="E75" t="s">
        <v>1109</v>
      </c>
      <c r="H75" s="1"/>
      <c r="I75" s="1"/>
      <c r="J75" s="1"/>
      <c r="N75" s="1" t="s">
        <v>935</v>
      </c>
      <c r="O75">
        <v>1.0449999999999999</v>
      </c>
    </row>
    <row r="76" spans="1:20" x14ac:dyDescent="0.2">
      <c r="I76" s="1"/>
      <c r="J76" s="1"/>
      <c r="L76" s="77"/>
      <c r="T76" s="59"/>
    </row>
    <row r="77" spans="1:20" hidden="1" x14ac:dyDescent="0.2">
      <c r="H77" s="1"/>
      <c r="I77" s="1" t="s">
        <v>649</v>
      </c>
      <c r="K77" s="1" t="s">
        <v>629</v>
      </c>
      <c r="L77" s="1" t="s">
        <v>630</v>
      </c>
      <c r="M77" s="1" t="s">
        <v>631</v>
      </c>
      <c r="N77" s="53" t="s">
        <v>628</v>
      </c>
    </row>
    <row r="78" spans="1:20" hidden="1" x14ac:dyDescent="0.2">
      <c r="H78" s="1"/>
      <c r="I78" s="1"/>
      <c r="K78" s="1">
        <f>H42</f>
        <v>-2.6144084055660997E-3</v>
      </c>
      <c r="L78" s="1">
        <f>I42</f>
        <v>5.2335932322840055E-2</v>
      </c>
      <c r="M78" s="1">
        <f>J42</f>
        <v>0.99862717642641197</v>
      </c>
      <c r="N78" s="1">
        <f>SQRT(K78^2+L78^2+M78^2)</f>
        <v>1.0000010612198369</v>
      </c>
    </row>
    <row r="79" spans="1:20" hidden="1" x14ac:dyDescent="0.2">
      <c r="B79" s="1" t="s">
        <v>624</v>
      </c>
      <c r="C79" s="1" t="s">
        <v>625</v>
      </c>
      <c r="D79" s="1" t="s">
        <v>626</v>
      </c>
      <c r="E79" s="1" t="s">
        <v>652</v>
      </c>
      <c r="F79" s="1" t="s">
        <v>627</v>
      </c>
      <c r="G79" s="1" t="s">
        <v>653</v>
      </c>
      <c r="H79" s="1" t="s">
        <v>654</v>
      </c>
      <c r="I79" s="1" t="s">
        <v>650</v>
      </c>
      <c r="K79" s="1" t="s">
        <v>638</v>
      </c>
      <c r="L79" s="1" t="s">
        <v>639</v>
      </c>
      <c r="M79" s="1" t="s">
        <v>640</v>
      </c>
      <c r="N79" s="53" t="s">
        <v>637</v>
      </c>
      <c r="P79" s="53" t="s">
        <v>1220</v>
      </c>
      <c r="Q79" s="1" t="s">
        <v>207</v>
      </c>
      <c r="R79" s="1" t="s">
        <v>655</v>
      </c>
    </row>
    <row r="80" spans="1:20" hidden="1" x14ac:dyDescent="0.2">
      <c r="B80" s="1">
        <f>180/PI()*ASIN(0.5*D65/D52)</f>
        <v>4.9109269828800057</v>
      </c>
      <c r="C80" s="1">
        <f>D65*(1-COS(PI()/180*B80))</f>
        <v>0.10873537382970591</v>
      </c>
      <c r="D80" s="1">
        <f>SQRT((D52+0.5*(D74-C80))^2+(0.5*D65)^2)</f>
        <v>176.59275052126858</v>
      </c>
      <c r="E80" s="1">
        <f>N56*180/PI()*ASIN(0.5*D65/D80)</f>
        <v>4.8107770595396797</v>
      </c>
      <c r="F80" s="1">
        <f>2*E80</f>
        <v>9.6215541190793594</v>
      </c>
      <c r="G80" s="1">
        <f>SQRT((D52-0.5*C80)^2+D75^2)</f>
        <v>172.9487894180611</v>
      </c>
      <c r="H80" s="1">
        <f>-N56*180/PI()*ASIN(D75/G80)</f>
        <v>-0.34619758901150577</v>
      </c>
      <c r="I80" s="1"/>
      <c r="K80" s="1">
        <f>D81*K78</f>
        <v>-7.593002663150171E-2</v>
      </c>
      <c r="L80" s="1">
        <f>D81*L78</f>
        <v>1.5199877443008956</v>
      </c>
      <c r="M80" s="1">
        <f>D81*M78</f>
        <v>29.003038675810945</v>
      </c>
      <c r="N80" s="1">
        <f>SQRT(K80^2+L80^2+M80^2)</f>
        <v>29.042940287483887</v>
      </c>
      <c r="O80" s="20" t="s">
        <v>34</v>
      </c>
      <c r="P80" s="1">
        <f>COS(PI()/180*E80)</f>
        <v>0.99647710222335251</v>
      </c>
      <c r="Q80" s="1">
        <f>COS(PI()/180*F80)</f>
        <v>0.98593323051089954</v>
      </c>
      <c r="R80" s="1">
        <f>COS(PI()/180*(E80+H80))</f>
        <v>0.99696564702493484</v>
      </c>
    </row>
    <row r="81" spans="1:20" hidden="1" x14ac:dyDescent="0.2">
      <c r="B81" s="1" t="s">
        <v>1105</v>
      </c>
      <c r="C81" s="1"/>
      <c r="D81" s="1">
        <f>2*PI()*G80*ABS(F80)/360</f>
        <v>29.04290946657224</v>
      </c>
      <c r="E81" s="1" t="s">
        <v>576</v>
      </c>
      <c r="H81" s="1"/>
      <c r="I81" s="1" t="s">
        <v>636</v>
      </c>
      <c r="K81" s="1" t="s">
        <v>632</v>
      </c>
      <c r="L81" s="1" t="s">
        <v>633</v>
      </c>
      <c r="M81" s="1" t="s">
        <v>634</v>
      </c>
      <c r="N81" s="1" t="s">
        <v>635</v>
      </c>
      <c r="O81" s="20" t="s">
        <v>35</v>
      </c>
      <c r="P81" s="1">
        <f>SIN(PI()/180*E80)</f>
        <v>8.3865277347363723E-2</v>
      </c>
      <c r="Q81" s="1">
        <f>SIN(PI()/180*F80)</f>
        <v>0.16713965709651754</v>
      </c>
      <c r="R81" s="1">
        <f>SIN(PI()/180*(E80+H80))</f>
        <v>7.7842781631651869E-2</v>
      </c>
    </row>
    <row r="82" spans="1:20" hidden="1" x14ac:dyDescent="0.2">
      <c r="D82" s="1" t="s">
        <v>1208</v>
      </c>
      <c r="E82" s="1" t="s">
        <v>1209</v>
      </c>
      <c r="F82" s="1" t="s">
        <v>1210</v>
      </c>
      <c r="G82" s="1" t="s">
        <v>1211</v>
      </c>
      <c r="H82" s="1"/>
      <c r="I82" s="1"/>
      <c r="K82" s="1">
        <f>M78/SQRT(K78^2+M78^2)</f>
        <v>0.999996573049173</v>
      </c>
      <c r="L82" s="1">
        <v>0</v>
      </c>
      <c r="M82" s="1">
        <f>-K78/SQRT(K78^2+M78^2)</f>
        <v>2.6179934892946559E-3</v>
      </c>
      <c r="N82" s="1">
        <f>SQRT(K82^2+L82^2+M82^2)</f>
        <v>1</v>
      </c>
    </row>
    <row r="83" spans="1:20" hidden="1" x14ac:dyDescent="0.2">
      <c r="C83" s="20" t="s">
        <v>1213</v>
      </c>
      <c r="D83" s="1">
        <f>P80</f>
        <v>0.99647710222335251</v>
      </c>
      <c r="E83" s="1">
        <f>P81</f>
        <v>8.3865277347363723E-2</v>
      </c>
      <c r="F83" s="1">
        <v>0</v>
      </c>
      <c r="G83" s="1">
        <v>0</v>
      </c>
      <c r="H83" s="1"/>
      <c r="I83" s="1" t="s">
        <v>657</v>
      </c>
      <c r="K83" s="1" t="s">
        <v>642</v>
      </c>
      <c r="L83" s="1" t="s">
        <v>643</v>
      </c>
      <c r="M83" s="1" t="s">
        <v>644</v>
      </c>
      <c r="N83" s="1" t="s">
        <v>641</v>
      </c>
    </row>
    <row r="84" spans="1:20" hidden="1" x14ac:dyDescent="0.2">
      <c r="C84" s="20"/>
      <c r="H84" s="1"/>
      <c r="I84" s="1"/>
      <c r="K84" s="1">
        <f>-D75*K78-SIGN(N56)*0.5*C80*K82</f>
        <v>-5.1635443815646748E-2</v>
      </c>
      <c r="L84" s="1">
        <f>-D75*L78</f>
        <v>-5.4691049277367856E-2</v>
      </c>
      <c r="M84" s="1">
        <f>-D75*M78-SIGN(N56)*0.5*C80*M82</f>
        <v>-1.0437077336159715</v>
      </c>
      <c r="N84" s="1">
        <f>SQRT(K84^2+L84^2+M84^2)</f>
        <v>1.0464144318284634</v>
      </c>
    </row>
    <row r="85" spans="1:20" hidden="1" x14ac:dyDescent="0.2">
      <c r="H85" s="1"/>
      <c r="I85" s="1" t="s">
        <v>656</v>
      </c>
      <c r="K85" s="1" t="s">
        <v>646</v>
      </c>
      <c r="L85" s="1" t="s">
        <v>647</v>
      </c>
      <c r="M85" s="1" t="s">
        <v>648</v>
      </c>
      <c r="N85" s="1" t="s">
        <v>645</v>
      </c>
    </row>
    <row r="86" spans="1:20" hidden="1" x14ac:dyDescent="0.2">
      <c r="H86" s="1"/>
      <c r="I86" s="1"/>
      <c r="K86" s="1">
        <f>R80*K80-R81*M80</f>
        <v>-2.3333768344248003</v>
      </c>
      <c r="L86" s="1">
        <f>L80</f>
        <v>1.5199877443008956</v>
      </c>
      <c r="M86" s="1">
        <f>R81*K80+R80*M80</f>
        <v>28.909122614636704</v>
      </c>
      <c r="N86" s="1">
        <f>SQRT(K86^2+L86^2+M86^2)</f>
        <v>29.042940287483884</v>
      </c>
    </row>
    <row r="87" spans="1:20" x14ac:dyDescent="0.2">
      <c r="I87" s="1"/>
      <c r="J87" s="1"/>
      <c r="L87" s="77"/>
      <c r="T87" s="59"/>
    </row>
    <row r="88" spans="1:20" x14ac:dyDescent="0.2">
      <c r="A88" s="82" t="s">
        <v>1098</v>
      </c>
      <c r="B88" s="11"/>
      <c r="C88" s="11"/>
      <c r="D88" s="11"/>
    </row>
    <row r="90" spans="1:20" x14ac:dyDescent="0.2">
      <c r="A90" t="s">
        <v>558</v>
      </c>
    </row>
    <row r="91" spans="1:20" x14ac:dyDescent="0.2">
      <c r="B91" t="s">
        <v>555</v>
      </c>
    </row>
    <row r="92" spans="1:20" x14ac:dyDescent="0.2">
      <c r="B92" t="s">
        <v>740</v>
      </c>
    </row>
    <row r="94" spans="1:20" x14ac:dyDescent="0.2">
      <c r="B94" s="82" t="s">
        <v>557</v>
      </c>
      <c r="C94" s="11"/>
      <c r="D94" s="70">
        <v>-5769</v>
      </c>
      <c r="F94" s="82" t="s">
        <v>556</v>
      </c>
      <c r="G94" s="11"/>
      <c r="H94" s="70">
        <v>14677</v>
      </c>
    </row>
    <row r="96" spans="1:20" x14ac:dyDescent="0.2">
      <c r="A96" s="82" t="s">
        <v>1099</v>
      </c>
      <c r="B96" s="11"/>
      <c r="C96" s="11"/>
      <c r="D96" s="11"/>
      <c r="E96" s="11"/>
      <c r="F96" s="11"/>
    </row>
    <row r="97" spans="1:2" x14ac:dyDescent="0.2">
      <c r="A97" s="25"/>
    </row>
    <row r="98" spans="1:2" x14ac:dyDescent="0.2">
      <c r="A98" s="41" t="s">
        <v>498</v>
      </c>
    </row>
    <row r="99" spans="1:2" x14ac:dyDescent="0.2">
      <c r="A99" s="41"/>
      <c r="B99" t="s">
        <v>531</v>
      </c>
    </row>
    <row r="100" spans="1:2" x14ac:dyDescent="0.2">
      <c r="A100" s="25"/>
    </row>
    <row r="101" spans="1:2" x14ac:dyDescent="0.2">
      <c r="A101" s="41" t="s">
        <v>540</v>
      </c>
      <c r="B101" t="s">
        <v>1110</v>
      </c>
    </row>
    <row r="102" spans="1:2" x14ac:dyDescent="0.2">
      <c r="A102" s="41"/>
      <c r="B102" t="s">
        <v>1102</v>
      </c>
    </row>
    <row r="103" spans="1:2" x14ac:dyDescent="0.2">
      <c r="A103" s="41"/>
      <c r="B103" t="s">
        <v>1127</v>
      </c>
    </row>
    <row r="105" spans="1:2" x14ac:dyDescent="0.2">
      <c r="A105" t="s">
        <v>679</v>
      </c>
    </row>
    <row r="106" spans="1:2" x14ac:dyDescent="0.2">
      <c r="B106" t="s">
        <v>20</v>
      </c>
    </row>
    <row r="107" spans="1:2" x14ac:dyDescent="0.2">
      <c r="B107" t="s">
        <v>21</v>
      </c>
    </row>
    <row r="108" spans="1:2" x14ac:dyDescent="0.2">
      <c r="B108" t="s">
        <v>25</v>
      </c>
    </row>
    <row r="110" spans="1:2" x14ac:dyDescent="0.2">
      <c r="A110" t="s">
        <v>589</v>
      </c>
    </row>
    <row r="111" spans="1:2" x14ac:dyDescent="0.2">
      <c r="B111" t="s">
        <v>676</v>
      </c>
    </row>
    <row r="113" spans="1:16" x14ac:dyDescent="0.2">
      <c r="A113" s="82" t="s">
        <v>1195</v>
      </c>
      <c r="B113" s="11"/>
      <c r="C113" s="11"/>
      <c r="D113" s="11"/>
      <c r="E113" s="70">
        <v>1</v>
      </c>
      <c r="F113" s="26" t="str">
        <f>IF(AND(E113&lt;&gt;1,E113&lt;&gt;2),T("SELECT 1 OR 2!"),T(""))</f>
        <v/>
      </c>
    </row>
    <row r="114" spans="1:16" x14ac:dyDescent="0.2">
      <c r="A114" s="47"/>
    </row>
    <row r="115" spans="1:16" x14ac:dyDescent="0.2">
      <c r="A115" s="55" t="s">
        <v>1193</v>
      </c>
      <c r="B115" t="s">
        <v>1200</v>
      </c>
      <c r="I115" s="67" t="s">
        <v>148</v>
      </c>
      <c r="N115" s="19">
        <f>VALUE(MID(I115,1,N116-1))</f>
        <v>3.5240199999999999E-2</v>
      </c>
      <c r="O115" s="19">
        <f>VALUE(MID(I115,N116+1,O116-N116-1))</f>
        <v>1</v>
      </c>
      <c r="P115" s="19">
        <f>VALUE(MID(I115,O116+1,P116-O116))</f>
        <v>767.85400000000004</v>
      </c>
    </row>
    <row r="116" spans="1:16" x14ac:dyDescent="0.2">
      <c r="A116" s="42"/>
      <c r="C116" t="s">
        <v>176</v>
      </c>
      <c r="I116" s="2"/>
      <c r="N116" s="1">
        <f>SEARCH(" ",I115,1)</f>
        <v>10</v>
      </c>
      <c r="O116" s="1">
        <f>SEARCH(" ",I115,N116+1)</f>
        <v>12</v>
      </c>
      <c r="P116" s="1">
        <f>LEN(I115)</f>
        <v>19</v>
      </c>
    </row>
    <row r="117" spans="1:16" x14ac:dyDescent="0.2">
      <c r="A117" s="42"/>
      <c r="C117" t="s">
        <v>11</v>
      </c>
      <c r="I117" s="2"/>
    </row>
    <row r="118" spans="1:16" x14ac:dyDescent="0.2">
      <c r="A118" s="55" t="s">
        <v>1194</v>
      </c>
      <c r="B118" t="s">
        <v>1201</v>
      </c>
      <c r="I118" s="70">
        <v>0</v>
      </c>
      <c r="J118" s="70">
        <v>0</v>
      </c>
      <c r="K118" s="70">
        <v>0</v>
      </c>
    </row>
    <row r="119" spans="1:16" x14ac:dyDescent="0.2">
      <c r="A119" s="26"/>
      <c r="I119" s="19" t="s">
        <v>36</v>
      </c>
      <c r="J119" s="19" t="s">
        <v>37</v>
      </c>
      <c r="K119" s="19" t="s">
        <v>38</v>
      </c>
    </row>
    <row r="120" spans="1:16" x14ac:dyDescent="0.2">
      <c r="G120" s="1" t="s">
        <v>552</v>
      </c>
      <c r="H120" s="1"/>
      <c r="I120" s="1">
        <f>IF(E113=1,N115,I118)</f>
        <v>3.5240199999999999E-2</v>
      </c>
      <c r="J120" s="1">
        <f>IF(E113=1,O115,J118)</f>
        <v>1</v>
      </c>
      <c r="K120" s="1">
        <f>IF(E113=1,P115,K118)</f>
        <v>767.85400000000004</v>
      </c>
    </row>
    <row r="121" spans="1:16" x14ac:dyDescent="0.2">
      <c r="G121" s="1"/>
      <c r="H121" s="1"/>
      <c r="I121" s="1"/>
      <c r="J121" s="1"/>
      <c r="K121" s="1"/>
    </row>
    <row r="122" spans="1:16" x14ac:dyDescent="0.2">
      <c r="A122" t="s">
        <v>210</v>
      </c>
      <c r="G122" s="1"/>
      <c r="H122" s="1"/>
      <c r="I122" s="1"/>
      <c r="J122" s="1"/>
      <c r="K122" s="1"/>
    </row>
    <row r="123" spans="1:16" x14ac:dyDescent="0.2">
      <c r="G123" s="1"/>
      <c r="H123" s="1"/>
      <c r="I123" s="1"/>
      <c r="J123" s="1"/>
      <c r="K123" s="1"/>
    </row>
    <row r="124" spans="1:16" x14ac:dyDescent="0.2">
      <c r="A124" t="s">
        <v>211</v>
      </c>
      <c r="G124" s="1"/>
      <c r="H124" s="1"/>
      <c r="I124" s="1"/>
      <c r="J124" s="1"/>
      <c r="K124" s="1"/>
    </row>
    <row r="125" spans="1:16" x14ac:dyDescent="0.2">
      <c r="B125" t="s">
        <v>212</v>
      </c>
      <c r="G125" s="1"/>
      <c r="H125" s="1"/>
      <c r="I125" s="1"/>
      <c r="J125" s="1"/>
      <c r="K125" s="1"/>
    </row>
    <row r="126" spans="1:16" x14ac:dyDescent="0.2">
      <c r="G126" s="1"/>
      <c r="H126" s="1"/>
      <c r="I126" s="1"/>
      <c r="J126" s="1"/>
      <c r="K126" s="1"/>
    </row>
    <row r="127" spans="1:16" s="69" customFormat="1" x14ac:dyDescent="0.2">
      <c r="A127" s="68" t="s">
        <v>13</v>
      </c>
    </row>
    <row r="128" spans="1:16" x14ac:dyDescent="0.2">
      <c r="A128" s="56"/>
    </row>
    <row r="129" spans="1:20" x14ac:dyDescent="0.2">
      <c r="A129" s="25" t="s">
        <v>1222</v>
      </c>
      <c r="L129" s="59"/>
      <c r="T129" s="59"/>
    </row>
    <row r="130" spans="1:20" hidden="1" x14ac:dyDescent="0.2">
      <c r="A130" s="54"/>
      <c r="H130" s="1"/>
      <c r="I130" s="1" t="s">
        <v>30</v>
      </c>
      <c r="K130" s="1" t="s">
        <v>40</v>
      </c>
      <c r="L130" s="1" t="s">
        <v>41</v>
      </c>
      <c r="M130" s="1" t="s">
        <v>42</v>
      </c>
      <c r="N130" s="1" t="s">
        <v>14</v>
      </c>
      <c r="O130" s="1" t="s">
        <v>15</v>
      </c>
      <c r="P130" s="1" t="s">
        <v>16</v>
      </c>
      <c r="Q130" s="1" t="s">
        <v>17</v>
      </c>
      <c r="R130" s="1" t="s">
        <v>18</v>
      </c>
    </row>
    <row r="131" spans="1:20" hidden="1" x14ac:dyDescent="0.2">
      <c r="H131" s="1"/>
      <c r="I131" s="1" t="str">
        <f>D44</f>
        <v>0.026177 0.001309 0.000034 0.999657</v>
      </c>
      <c r="K131" s="1">
        <f>K84</f>
        <v>-5.1635443815646748E-2</v>
      </c>
      <c r="L131" s="1">
        <f>L84</f>
        <v>-5.4691049277367856E-2</v>
      </c>
      <c r="M131" s="1">
        <f>M84</f>
        <v>-1.0437077336159715</v>
      </c>
      <c r="N131" s="1">
        <f>IF(ABS(I120+K131)&lt;=1024,I120+K131,IF(I120+K131&gt;1024,I120+K131-2048,I120+K131+2048))</f>
        <v>-1.6395243815646748E-2</v>
      </c>
      <c r="O131" s="1">
        <f>J120+L131</f>
        <v>0.9453089507226321</v>
      </c>
      <c r="P131" s="1">
        <f>IF(ABS(K120+M131)&lt;=1024,K120+M131,IF(K120+M131&gt;1024,K120+M131-2048,K120+M131+2048))</f>
        <v>766.81029226638407</v>
      </c>
      <c r="Q131" s="1">
        <f>IF(ABS(I120+K131)&lt;=1024,D94,IF(I120+K131&gt;1024,D94+1,D94-1))</f>
        <v>-5769</v>
      </c>
      <c r="R131" s="1">
        <f>IF(ABS(K120+M131)&lt;=1024,H94,IF(K120+M131&gt;1024,H94+1,H94-1))</f>
        <v>14677</v>
      </c>
    </row>
    <row r="132" spans="1:20" hidden="1" x14ac:dyDescent="0.2">
      <c r="B132" s="3"/>
      <c r="D132" s="20" t="s">
        <v>451</v>
      </c>
      <c r="E132" s="1">
        <f>L42</f>
        <v>2.9999954410309275</v>
      </c>
      <c r="G132" s="1"/>
      <c r="H132" s="1" t="s">
        <v>844</v>
      </c>
      <c r="I132" s="1" t="s">
        <v>845</v>
      </c>
      <c r="J132" s="1" t="s">
        <v>846</v>
      </c>
      <c r="K132" s="1" t="s">
        <v>847</v>
      </c>
      <c r="L132" s="1"/>
      <c r="M132" s="1" t="s">
        <v>163</v>
      </c>
      <c r="N132" s="1" t="s">
        <v>526</v>
      </c>
      <c r="O132" s="1" t="s">
        <v>527</v>
      </c>
    </row>
    <row r="133" spans="1:20" hidden="1" x14ac:dyDescent="0.2">
      <c r="B133" s="3"/>
      <c r="E133" s="1">
        <v>0</v>
      </c>
      <c r="G133" s="1" t="s">
        <v>856</v>
      </c>
      <c r="H133" s="19">
        <f>M133*N133*O133+M134*N134*O134</f>
        <v>0.99965732601699353</v>
      </c>
      <c r="I133" s="19">
        <f>M134*N133*O133-M133*N134*O134</f>
        <v>0</v>
      </c>
      <c r="J133" s="19">
        <f>M133*N134*O133+M134*N133*O134</f>
        <v>0</v>
      </c>
      <c r="K133" s="19">
        <f>M133*N133*O134-M134*N134*O133</f>
        <v>2.6176908536995884E-2</v>
      </c>
      <c r="L133" s="20" t="s">
        <v>34</v>
      </c>
      <c r="M133" s="1">
        <f>COS(-0.5*E134*PI()/180)</f>
        <v>1</v>
      </c>
      <c r="N133" s="1">
        <f>COS(0.5*E133*PI()/180)</f>
        <v>1</v>
      </c>
      <c r="O133" s="1">
        <f>COS(0.5*E132*PI()/180)</f>
        <v>0.99965732601699353</v>
      </c>
    </row>
    <row r="134" spans="1:20" hidden="1" x14ac:dyDescent="0.2">
      <c r="B134" s="3"/>
      <c r="E134" s="1">
        <v>0</v>
      </c>
      <c r="G134" s="1" t="s">
        <v>857</v>
      </c>
      <c r="H134" s="1">
        <f>J133</f>
        <v>0</v>
      </c>
      <c r="I134" s="1">
        <f>I133</f>
        <v>0</v>
      </c>
      <c r="J134" s="1">
        <f>K133</f>
        <v>2.6176908536995884E-2</v>
      </c>
      <c r="K134" s="1">
        <f>H133</f>
        <v>0.99965732601699353</v>
      </c>
      <c r="L134" s="20" t="s">
        <v>35</v>
      </c>
      <c r="M134" s="1">
        <f>SIN(-0.5*E134*PI()/180)</f>
        <v>0</v>
      </c>
      <c r="N134" s="1">
        <f>SIN(0.5*E133*PI()/180)</f>
        <v>0</v>
      </c>
      <c r="O134" s="1">
        <f>SIN(0.5*E132*PI()/180)</f>
        <v>2.6176908536995884E-2</v>
      </c>
    </row>
    <row r="135" spans="1:20" hidden="1" x14ac:dyDescent="0.2">
      <c r="B135" s="3"/>
      <c r="E135" s="1"/>
      <c r="G135" s="1"/>
      <c r="H135" s="19" t="s">
        <v>36</v>
      </c>
      <c r="I135" s="19" t="s">
        <v>37</v>
      </c>
      <c r="J135" s="19" t="s">
        <v>38</v>
      </c>
      <c r="K135" s="19" t="s">
        <v>882</v>
      </c>
      <c r="L135" s="19" t="s">
        <v>881</v>
      </c>
      <c r="M135" s="19" t="s">
        <v>523</v>
      </c>
      <c r="N135" s="19"/>
      <c r="O135" s="19"/>
    </row>
    <row r="136" spans="1:20" hidden="1" x14ac:dyDescent="0.2">
      <c r="E136" s="1"/>
      <c r="G136" s="1" t="s">
        <v>39</v>
      </c>
      <c r="H136" s="19">
        <f>-2*H133*I133+2*J133*K133</f>
        <v>0</v>
      </c>
      <c r="I136" s="19">
        <f>2*H133*J133+2*I133*K133</f>
        <v>0</v>
      </c>
      <c r="J136" s="19">
        <f>H133*H133-I133*I133-J133*J133+K133*K133</f>
        <v>0.99999999999999989</v>
      </c>
      <c r="K136" s="19">
        <f>IF(ABS(I136)&lt;0.99999,ATAN(I136/SQRT(H136*H136+J136*J136)),SIGN(I136)*1000)</f>
        <v>0</v>
      </c>
      <c r="L136" s="19">
        <f>IF(ABS(I136)&lt;0.99999,180/PI()*ATAN(I136/SQRT(H136*H136+J136*J136)),SIGN(I136)*90)</f>
        <v>0</v>
      </c>
      <c r="M136" s="19">
        <f>IF(ABS(H136)&gt;0.00001,IF(H136&gt;0,90-180/PI()*ATAN(J136/H136),-90-180/PI()*ATAN(J136/H136)),-90+SIGN(J136)*90)</f>
        <v>0</v>
      </c>
      <c r="N136" s="19"/>
      <c r="O136" s="19"/>
    </row>
    <row r="137" spans="1:20" hidden="1" x14ac:dyDescent="0.2">
      <c r="D137" s="20" t="s">
        <v>453</v>
      </c>
      <c r="E137" s="51">
        <v>0</v>
      </c>
      <c r="F137" s="45"/>
      <c r="G137" s="1"/>
      <c r="H137" s="1" t="s">
        <v>860</v>
      </c>
      <c r="I137" s="1" t="s">
        <v>861</v>
      </c>
      <c r="J137" s="1" t="s">
        <v>862</v>
      </c>
      <c r="K137" s="1" t="s">
        <v>863</v>
      </c>
      <c r="L137" s="1"/>
      <c r="M137" s="1" t="s">
        <v>163</v>
      </c>
      <c r="N137" s="1" t="s">
        <v>526</v>
      </c>
      <c r="O137" s="1" t="s">
        <v>527</v>
      </c>
      <c r="P137" s="19"/>
    </row>
    <row r="138" spans="1:20" hidden="1" x14ac:dyDescent="0.2">
      <c r="D138" s="20"/>
      <c r="E138" s="51">
        <v>0</v>
      </c>
      <c r="F138" s="45"/>
      <c r="G138" s="1" t="s">
        <v>864</v>
      </c>
      <c r="H138" s="19">
        <f>M138*N138*O138+M139*N139*O139</f>
        <v>0.99999914326192629</v>
      </c>
      <c r="I138" s="19">
        <f>M139*N138*O138-M138*N139*O139</f>
        <v>1.3089978661156049E-3</v>
      </c>
      <c r="J138" s="19">
        <f>M138*N139*O138+M139*N138*O139</f>
        <v>0</v>
      </c>
      <c r="K138" s="19">
        <f>M138*N138*O139-M139*N139*O138</f>
        <v>0</v>
      </c>
      <c r="L138" s="20" t="s">
        <v>34</v>
      </c>
      <c r="M138" s="1">
        <f>COS(-0.5*E139*PI()/180)</f>
        <v>0.99999914326192629</v>
      </c>
      <c r="N138" s="1">
        <f>COS(0.5*E138*PI()/180)</f>
        <v>1</v>
      </c>
      <c r="O138" s="1">
        <f>COS(0.5*E137*PI()/180)</f>
        <v>1</v>
      </c>
      <c r="P138" s="19"/>
    </row>
    <row r="139" spans="1:20" hidden="1" x14ac:dyDescent="0.2">
      <c r="D139" s="20"/>
      <c r="E139" s="51">
        <f>M42</f>
        <v>-0.15000014907705861</v>
      </c>
      <c r="F139" s="45"/>
      <c r="G139" s="1"/>
      <c r="H139" s="19"/>
      <c r="I139" s="19"/>
      <c r="J139" s="19"/>
      <c r="K139" s="19"/>
      <c r="L139" s="20" t="s">
        <v>35</v>
      </c>
      <c r="M139" s="1">
        <f>SIN(-0.5*E139*PI()/180)</f>
        <v>1.3089978661156049E-3</v>
      </c>
      <c r="N139" s="1">
        <f>SIN(0.5*E138*PI()/180)</f>
        <v>0</v>
      </c>
      <c r="O139" s="1">
        <f>SIN(0.5*E137*PI()/180)</f>
        <v>0</v>
      </c>
      <c r="P139" s="19"/>
    </row>
    <row r="140" spans="1:20" hidden="1" x14ac:dyDescent="0.2">
      <c r="D140" s="20"/>
      <c r="E140" s="51"/>
      <c r="F140" s="45"/>
      <c r="G140" s="1" t="s">
        <v>848</v>
      </c>
      <c r="H140" s="1">
        <f>J138</f>
        <v>0</v>
      </c>
      <c r="I140" s="1">
        <f>I138</f>
        <v>1.3089978661156049E-3</v>
      </c>
      <c r="J140" s="1">
        <f>K138</f>
        <v>0</v>
      </c>
      <c r="K140" s="1">
        <f>H138</f>
        <v>0.99999914326192629</v>
      </c>
      <c r="L140" s="21" t="s">
        <v>878</v>
      </c>
      <c r="M140" s="21" t="str">
        <f>CONCATENATE(TEXT(H140,"0.000000")," ",TEXT(I140,"0.000000")," ",TEXT(J140,"0.000000")," ",TEXT(K140,"0.000000"))</f>
        <v>0.000000 0.001309 0.000000 0.999999</v>
      </c>
      <c r="N140" s="1"/>
      <c r="O140" s="1"/>
      <c r="P140" s="19"/>
    </row>
    <row r="141" spans="1:20" hidden="1" x14ac:dyDescent="0.2">
      <c r="D141" s="20" t="s">
        <v>828</v>
      </c>
      <c r="E141" s="1">
        <v>0</v>
      </c>
      <c r="G141" s="1"/>
      <c r="H141" s="1" t="s">
        <v>850</v>
      </c>
      <c r="I141" s="1" t="s">
        <v>851</v>
      </c>
      <c r="J141" s="1" t="s">
        <v>852</v>
      </c>
      <c r="K141" s="1" t="s">
        <v>853</v>
      </c>
      <c r="L141" s="1"/>
      <c r="M141" s="1" t="s">
        <v>163</v>
      </c>
      <c r="N141" s="1" t="s">
        <v>526</v>
      </c>
      <c r="O141" s="1" t="s">
        <v>527</v>
      </c>
    </row>
    <row r="142" spans="1:20" hidden="1" x14ac:dyDescent="0.2">
      <c r="E142" s="1">
        <v>0</v>
      </c>
      <c r="G142" s="1" t="s">
        <v>855</v>
      </c>
      <c r="H142" s="19">
        <f>M142*N142*O142+M143*N143*O143</f>
        <v>0.70803177664893491</v>
      </c>
      <c r="I142" s="19">
        <f>M143*N142*O142-M142*N143*O143</f>
        <v>-0.70618057411355684</v>
      </c>
      <c r="J142" s="19">
        <f>M142*N143*O142+M143*N142*O143</f>
        <v>0</v>
      </c>
      <c r="K142" s="19">
        <f>M142*N142*O143-M143*N143*O142</f>
        <v>0</v>
      </c>
      <c r="L142" s="20" t="s">
        <v>34</v>
      </c>
      <c r="M142" s="1">
        <f>COS(-0.5*E143*PI()/180)</f>
        <v>0.70803177664893491</v>
      </c>
      <c r="N142" s="1">
        <f>COS(0.5*E142*PI()/180)</f>
        <v>1</v>
      </c>
      <c r="O142" s="1">
        <f>COS(0.5*E141*PI()/180)</f>
        <v>1</v>
      </c>
    </row>
    <row r="143" spans="1:20" hidden="1" x14ac:dyDescent="0.2">
      <c r="E143" s="1">
        <f>M42+90</f>
        <v>89.849999850922941</v>
      </c>
      <c r="G143" s="1" t="s">
        <v>854</v>
      </c>
      <c r="H143" s="19">
        <f>H142*H133-I142*I133-J142*J133-K142*K133</f>
        <v>0.70778915257993547</v>
      </c>
      <c r="I143" s="19">
        <f>H142*I133+I142*H133+J142*K133-K142*J133</f>
        <v>-0.70593858440350354</v>
      </c>
      <c r="J143" s="19">
        <f>H142*J133-I142*K133+J142*H133+K142*I133</f>
        <v>1.848562429917382E-2</v>
      </c>
      <c r="K143" s="19">
        <f>H142*K133+I142*J133-J142*I133+K142*H133</f>
        <v>1.8534083058625868E-2</v>
      </c>
      <c r="L143" s="20" t="s">
        <v>35</v>
      </c>
      <c r="M143" s="1">
        <f>SIN(-0.5*E143*PI()/180)</f>
        <v>-0.70618057411355684</v>
      </c>
      <c r="N143" s="1">
        <f>SIN(0.5*E142*PI()/180)</f>
        <v>0</v>
      </c>
      <c r="O143" s="1">
        <f>SIN(0.5*E141*PI()/180)</f>
        <v>0</v>
      </c>
    </row>
    <row r="144" spans="1:20" hidden="1" x14ac:dyDescent="0.2">
      <c r="E144" s="1"/>
      <c r="G144" s="1" t="s">
        <v>848</v>
      </c>
      <c r="H144" s="1">
        <f>J143</f>
        <v>1.848562429917382E-2</v>
      </c>
      <c r="I144" s="1">
        <f>I143</f>
        <v>-0.70593858440350354</v>
      </c>
      <c r="J144" s="1">
        <f>K143</f>
        <v>1.8534083058625868E-2</v>
      </c>
      <c r="K144" s="1">
        <f>H143</f>
        <v>0.70778915257993547</v>
      </c>
      <c r="L144" s="20"/>
      <c r="M144" s="1"/>
      <c r="N144" s="1"/>
      <c r="O144" s="1"/>
    </row>
    <row r="145" spans="1:20" hidden="1" x14ac:dyDescent="0.2">
      <c r="E145" s="1"/>
      <c r="G145" s="1"/>
      <c r="H145" s="19" t="s">
        <v>36</v>
      </c>
      <c r="I145" s="19" t="s">
        <v>37</v>
      </c>
      <c r="J145" s="19" t="s">
        <v>38</v>
      </c>
      <c r="K145" s="19" t="s">
        <v>882</v>
      </c>
      <c r="L145" s="19" t="s">
        <v>881</v>
      </c>
      <c r="M145" s="19" t="s">
        <v>523</v>
      </c>
      <c r="N145" s="19"/>
      <c r="O145" s="19"/>
    </row>
    <row r="146" spans="1:20" hidden="1" x14ac:dyDescent="0.2">
      <c r="E146" s="1"/>
      <c r="G146" s="1" t="s">
        <v>39</v>
      </c>
      <c r="H146" s="19">
        <f>-2*H143*I143+2*J143*K143</f>
        <v>0.99999657304917289</v>
      </c>
      <c r="I146" s="19">
        <f>2*H143*J143+2*I143*K143</f>
        <v>0</v>
      </c>
      <c r="J146" s="19">
        <f>H143*H143-I143*I143-J143*J143+K143*K143</f>
        <v>2.6179934892944863E-3</v>
      </c>
      <c r="K146" s="19">
        <f>IF(ABS(I146)&lt;0.99999,ATAN(I146/SQRT(H146*H146+J146*J146)),SIGN(I146)*1000)</f>
        <v>0</v>
      </c>
      <c r="L146" s="19">
        <f>IF(ABS(I146)&lt;0.99999,180/PI()*ATAN(I146/SQRT(H146*H146+J146*J146)),SIGN(I146)*90)</f>
        <v>0</v>
      </c>
      <c r="M146" s="19">
        <f>IF(ABS(H146)&gt;0.00001,IF(H146&gt;0,90-180/PI()*ATAN(J146/H146),-90-180/PI()*ATAN(J146/H146)),-90+SIGN(J146)*90)</f>
        <v>89.849999850922941</v>
      </c>
      <c r="N146" s="19"/>
      <c r="O146" s="19"/>
    </row>
    <row r="147" spans="1:20" hidden="1" x14ac:dyDescent="0.2">
      <c r="D147" s="20" t="s">
        <v>829</v>
      </c>
      <c r="G147" s="1" t="s">
        <v>848</v>
      </c>
      <c r="H147" s="1">
        <f>-J144</f>
        <v>-1.8534083058625868E-2</v>
      </c>
      <c r="I147" s="1">
        <f>-K144</f>
        <v>-0.70778915257993547</v>
      </c>
      <c r="J147" s="1">
        <f>H144</f>
        <v>1.848562429917382E-2</v>
      </c>
      <c r="K147" s="1">
        <f>I144</f>
        <v>-0.70593858440350354</v>
      </c>
      <c r="L147" s="1"/>
      <c r="M147" s="1"/>
      <c r="N147" s="1"/>
      <c r="O147" s="1"/>
    </row>
    <row r="148" spans="1:20" hidden="1" x14ac:dyDescent="0.2">
      <c r="D148" s="20" t="s">
        <v>830</v>
      </c>
      <c r="G148" s="1" t="s">
        <v>848</v>
      </c>
      <c r="H148" s="1">
        <f>J142</f>
        <v>0</v>
      </c>
      <c r="I148" s="1">
        <f>I142</f>
        <v>-0.70618057411355684</v>
      </c>
      <c r="J148" s="1">
        <f>K142</f>
        <v>0</v>
      </c>
      <c r="K148" s="1">
        <f>H142</f>
        <v>0.70803177664893491</v>
      </c>
      <c r="L148" s="1"/>
      <c r="M148" s="1"/>
      <c r="N148" s="1"/>
      <c r="O148" s="1"/>
    </row>
    <row r="149" spans="1:20" hidden="1" x14ac:dyDescent="0.2">
      <c r="D149" s="20" t="s">
        <v>831</v>
      </c>
      <c r="G149" s="1" t="s">
        <v>848</v>
      </c>
      <c r="H149" s="1">
        <f>-J148</f>
        <v>0</v>
      </c>
      <c r="I149" s="1">
        <f>-K148</f>
        <v>-0.70803177664893491</v>
      </c>
      <c r="J149" s="1">
        <f>H148</f>
        <v>0</v>
      </c>
      <c r="K149" s="1">
        <f>I148</f>
        <v>-0.70618057411355684</v>
      </c>
      <c r="L149" s="1"/>
      <c r="M149" s="1"/>
      <c r="N149" s="1"/>
      <c r="O149" s="1"/>
    </row>
    <row r="150" spans="1:20" x14ac:dyDescent="0.2">
      <c r="A150" s="56"/>
      <c r="C150" s="26" t="str">
        <f>T(IF(ABS(C151-D94)+ABS(E151-H94)&lt;&gt;0,"WARNING:  TILE CHANGE -&gt; other world tile file!",""))</f>
        <v/>
      </c>
      <c r="D150" s="2"/>
      <c r="E150" s="2"/>
      <c r="G150" s="13"/>
      <c r="H150" s="15"/>
      <c r="J150" s="2"/>
      <c r="K150" s="2"/>
      <c r="L150" s="59"/>
      <c r="T150" s="59"/>
    </row>
    <row r="151" spans="1:20" x14ac:dyDescent="0.2">
      <c r="B151" s="88" t="s">
        <v>28</v>
      </c>
      <c r="C151" s="71">
        <f>Q131</f>
        <v>-5769</v>
      </c>
      <c r="D151" s="88" t="s">
        <v>27</v>
      </c>
      <c r="E151" s="71">
        <f>R131</f>
        <v>14677</v>
      </c>
      <c r="F151" t="s">
        <v>32</v>
      </c>
    </row>
    <row r="152" spans="1:20" x14ac:dyDescent="0.2">
      <c r="B152" s="88" t="s">
        <v>26</v>
      </c>
      <c r="C152" s="73" t="str">
        <f>CONCATENATE(TEXT(N131,"0.000")," ",TEXT(O131,"0.000")," ",TEXT(P131,"0.000"))</f>
        <v>-0.016 0.945 766.810</v>
      </c>
    </row>
    <row r="153" spans="1:20" x14ac:dyDescent="0.2">
      <c r="B153" s="88" t="s">
        <v>360</v>
      </c>
      <c r="C153" s="74" t="str">
        <f>I131</f>
        <v>0.026177 0.001309 0.000034 0.999657</v>
      </c>
    </row>
    <row r="154" spans="1:20" x14ac:dyDescent="0.2">
      <c r="B154" s="88" t="s">
        <v>453</v>
      </c>
      <c r="C154" s="74" t="str">
        <f>M140</f>
        <v>0.000000 0.001309 0.000000 0.999999</v>
      </c>
    </row>
    <row r="155" spans="1:20" x14ac:dyDescent="0.2">
      <c r="B155" s="88" t="s">
        <v>828</v>
      </c>
      <c r="C155" s="74" t="str">
        <f>CONCATENATE(TEXT(H144,"0.000000")," ",TEXT(I144,"0.000000")," ",TEXT(J144,"0.000000")," ",TEXT(K144,"0.000000"))</f>
        <v>0.018486 -0.705939 0.018534 0.707789</v>
      </c>
      <c r="G155" t="s">
        <v>1100</v>
      </c>
    </row>
    <row r="156" spans="1:20" x14ac:dyDescent="0.2">
      <c r="B156" s="88" t="s">
        <v>829</v>
      </c>
      <c r="C156" s="74" t="str">
        <f>CONCATENATE(TEXT(H147,"0.000000")," ",TEXT(I147,"0.000000")," ",TEXT(J147,"0.000000")," ",TEXT(K147,"0.000000"))</f>
        <v>-0.018534 -0.707789 0.018486 -0.705939</v>
      </c>
      <c r="G156" t="s">
        <v>1100</v>
      </c>
    </row>
    <row r="157" spans="1:20" x14ac:dyDescent="0.2">
      <c r="B157" s="88" t="s">
        <v>830</v>
      </c>
      <c r="C157" s="74" t="str">
        <f>CONCATENATE(TEXT(H148,"0.000000")," ",TEXT(I148,"0.000000")," ",TEXT(J148,"0.000000")," ",TEXT(K148,"0.000000"))</f>
        <v>0.000000 -0.706181 0.000000 0.708032</v>
      </c>
    </row>
    <row r="158" spans="1:20" x14ac:dyDescent="0.2">
      <c r="B158" s="88" t="s">
        <v>831</v>
      </c>
      <c r="C158" s="74" t="str">
        <f>CONCATENATE(TEXT(H149,"0.000000")," ",TEXT(I149,"0.000000")," ",TEXT(J149,"0.000000")," ",TEXT(K149,"0.000000"))</f>
        <v>0.000000 -0.708032 0.000000 -0.706181</v>
      </c>
    </row>
    <row r="159" spans="1:20" x14ac:dyDescent="0.2">
      <c r="C159" s="12" t="s">
        <v>456</v>
      </c>
      <c r="L159" s="59"/>
      <c r="T159" s="59"/>
    </row>
    <row r="160" spans="1:20" hidden="1" x14ac:dyDescent="0.2">
      <c r="C160" s="12"/>
    </row>
    <row r="161" spans="2:18" hidden="1" x14ac:dyDescent="0.2">
      <c r="D161" s="1" t="s">
        <v>1214</v>
      </c>
      <c r="E161" s="1" t="s">
        <v>1215</v>
      </c>
      <c r="F161" s="1" t="s">
        <v>1216</v>
      </c>
      <c r="G161" s="1" t="s">
        <v>1217</v>
      </c>
      <c r="I161" s="53"/>
      <c r="K161" s="1" t="s">
        <v>40</v>
      </c>
      <c r="L161" s="1" t="s">
        <v>41</v>
      </c>
      <c r="M161" s="1" t="s">
        <v>42</v>
      </c>
      <c r="N161" s="53" t="s">
        <v>1221</v>
      </c>
      <c r="P161" s="53"/>
    </row>
    <row r="162" spans="2:18" hidden="1" x14ac:dyDescent="0.2">
      <c r="B162" s="20" t="s">
        <v>451</v>
      </c>
      <c r="C162" s="19" t="s">
        <v>1212</v>
      </c>
      <c r="D162" s="19">
        <f>D42</f>
        <v>0.99965700000000002</v>
      </c>
      <c r="E162" s="19">
        <f>E42</f>
        <v>1.3085499999999999E-3</v>
      </c>
      <c r="F162" s="19">
        <f>F42</f>
        <v>2.6176899999999999E-2</v>
      </c>
      <c r="G162" s="19">
        <f>G42</f>
        <v>3.4265499999999999E-5</v>
      </c>
      <c r="H162" s="19"/>
      <c r="J162" s="19"/>
      <c r="K162" s="19"/>
      <c r="L162" s="19"/>
      <c r="M162" s="19"/>
      <c r="N162" s="19">
        <f>SQRT(K162^2+L162^2+M162^2)</f>
        <v>0</v>
      </c>
      <c r="O162" s="20"/>
      <c r="P162" s="1"/>
    </row>
    <row r="163" spans="2:18" hidden="1" x14ac:dyDescent="0.2">
      <c r="B163" s="20"/>
      <c r="C163" s="19" t="s">
        <v>1213</v>
      </c>
      <c r="D163" s="19">
        <f>D83</f>
        <v>0.99647710222335251</v>
      </c>
      <c r="E163" s="19">
        <f>E83</f>
        <v>8.3865277347363723E-2</v>
      </c>
      <c r="F163" s="19">
        <f>F83</f>
        <v>0</v>
      </c>
      <c r="G163" s="19">
        <f>G83</f>
        <v>0</v>
      </c>
      <c r="H163" s="19"/>
      <c r="J163" s="76" t="s">
        <v>658</v>
      </c>
      <c r="K163" s="19">
        <f>K86</f>
        <v>-2.3333768344248003</v>
      </c>
      <c r="L163" s="19">
        <f>L86</f>
        <v>1.5199877443008956</v>
      </c>
      <c r="M163" s="19">
        <f>M86</f>
        <v>28.909122614636704</v>
      </c>
      <c r="N163" s="19">
        <f>SQRT(K163^2+L163^2+M163^2)</f>
        <v>29.042940287483884</v>
      </c>
      <c r="O163" s="20"/>
      <c r="P163" s="1"/>
    </row>
    <row r="164" spans="2:18" hidden="1" x14ac:dyDescent="0.2">
      <c r="B164" s="20"/>
      <c r="C164" s="19" t="s">
        <v>1218</v>
      </c>
      <c r="D164" s="19">
        <f>D163*D162-E163*E162-F163*F162-G163*G162</f>
        <v>0.99602556866861702</v>
      </c>
      <c r="E164" s="19">
        <f>D163*E162+E163*D162+F163*G162-G163*F162</f>
        <v>8.5140451669347944E-2</v>
      </c>
      <c r="F164" s="19">
        <f>D163*F162-E163*G162+F163*D162+G163*E162</f>
        <v>2.608180777152953E-2</v>
      </c>
      <c r="G164" s="19">
        <f>D163*G162+E163*F162-F163*E162+G163*D162</f>
        <v>2.2294777647404399E-3</v>
      </c>
      <c r="H164" s="19"/>
      <c r="I164" s="19"/>
      <c r="J164" s="19"/>
      <c r="K164" s="19"/>
      <c r="L164" s="19"/>
    </row>
    <row r="165" spans="2:18" hidden="1" x14ac:dyDescent="0.2">
      <c r="B165" s="20"/>
      <c r="C165" s="19" t="s">
        <v>848</v>
      </c>
      <c r="D165" s="19">
        <f>F164</f>
        <v>2.608180777152953E-2</v>
      </c>
      <c r="E165" s="19">
        <f>E164</f>
        <v>8.5140451669347944E-2</v>
      </c>
      <c r="F165" s="19">
        <f>G164</f>
        <v>2.2294777647404399E-3</v>
      </c>
      <c r="G165" s="19">
        <f>D164</f>
        <v>0.99602556866861702</v>
      </c>
      <c r="H165" s="19" t="s">
        <v>878</v>
      </c>
      <c r="I165" s="19" t="str">
        <f>CONCATENATE(TEXT(D165,"0.000000")," ",TEXT(E165,"0.000000")," ",TEXT(F165,"0.000000")," ",TEXT(G165,"0.000000"))</f>
        <v>0.026082 0.085140 0.002229 0.996026</v>
      </c>
      <c r="J165" s="19"/>
      <c r="K165" s="19"/>
      <c r="L165" s="19"/>
    </row>
    <row r="166" spans="2:18" hidden="1" x14ac:dyDescent="0.2">
      <c r="B166" s="20" t="s">
        <v>453</v>
      </c>
      <c r="C166" s="19" t="s">
        <v>1212</v>
      </c>
      <c r="D166" s="19">
        <f>H138</f>
        <v>0.99999914326192629</v>
      </c>
      <c r="E166" s="19">
        <f>I138</f>
        <v>1.3089978661156049E-3</v>
      </c>
      <c r="F166" s="19">
        <f>J138</f>
        <v>0</v>
      </c>
      <c r="G166" s="19">
        <f>K138</f>
        <v>0</v>
      </c>
      <c r="H166" s="19"/>
      <c r="J166" s="19"/>
      <c r="K166" s="19"/>
      <c r="L166" s="19"/>
    </row>
    <row r="167" spans="2:18" hidden="1" x14ac:dyDescent="0.2">
      <c r="B167" s="20"/>
      <c r="C167" s="19" t="s">
        <v>1213</v>
      </c>
      <c r="D167" s="19">
        <f>D163</f>
        <v>0.99647710222335251</v>
      </c>
      <c r="E167" s="19">
        <f>E163</f>
        <v>8.3865277347363723E-2</v>
      </c>
      <c r="F167" s="19">
        <f>F163</f>
        <v>0</v>
      </c>
      <c r="G167" s="19">
        <f>G163</f>
        <v>0</v>
      </c>
      <c r="H167" s="19"/>
      <c r="J167" s="19"/>
      <c r="K167" s="19"/>
      <c r="L167" s="19"/>
    </row>
    <row r="168" spans="2:18" hidden="1" x14ac:dyDescent="0.2">
      <c r="B168" s="20"/>
      <c r="C168" s="19" t="s">
        <v>1218</v>
      </c>
      <c r="D168" s="19">
        <f>D167*D166-E167*E166-F167*F166-G167*G166</f>
        <v>0.99636646903439063</v>
      </c>
      <c r="E168" s="19">
        <f>D167*E166+E167*D166+F167*G166-G167*F166</f>
        <v>8.5169591897230987E-2</v>
      </c>
      <c r="F168" s="19">
        <f>D167*F166-E167*G166+F167*D166+G167*E166</f>
        <v>0</v>
      </c>
      <c r="G168" s="19">
        <f>D167*G166+E167*F166-F167*E166+G167*D166</f>
        <v>0</v>
      </c>
      <c r="H168" s="19"/>
      <c r="I168" s="19"/>
      <c r="J168" s="19"/>
      <c r="K168" s="19"/>
      <c r="L168" s="19"/>
    </row>
    <row r="169" spans="2:18" hidden="1" x14ac:dyDescent="0.2">
      <c r="B169" s="20"/>
      <c r="C169" s="19" t="s">
        <v>848</v>
      </c>
      <c r="D169" s="19">
        <f>F168</f>
        <v>0</v>
      </c>
      <c r="E169" s="19">
        <f>E168</f>
        <v>8.5169591897230987E-2</v>
      </c>
      <c r="F169" s="19">
        <f>G168</f>
        <v>0</v>
      </c>
      <c r="G169" s="19">
        <f>D168</f>
        <v>0.99636646903439063</v>
      </c>
      <c r="H169" s="19" t="s">
        <v>878</v>
      </c>
      <c r="I169" s="19" t="str">
        <f>CONCATENATE(TEXT(D169,"0.000000")," ",TEXT(E169,"0.000000")," ",TEXT(F169,"0.000000")," ",TEXT(G169,"0.000000"))</f>
        <v>0.000000 0.085170 0.000000 0.996366</v>
      </c>
      <c r="J169" s="19"/>
      <c r="K169" s="19"/>
      <c r="L169" s="19"/>
    </row>
    <row r="170" spans="2:18" hidden="1" x14ac:dyDescent="0.2">
      <c r="B170" s="20" t="s">
        <v>828</v>
      </c>
      <c r="C170" s="19" t="s">
        <v>1212</v>
      </c>
      <c r="D170" s="19">
        <f>H143</f>
        <v>0.70778915257993547</v>
      </c>
      <c r="E170" s="19">
        <f>I143</f>
        <v>-0.70593858440350354</v>
      </c>
      <c r="F170" s="19">
        <f>J143</f>
        <v>1.848562429917382E-2</v>
      </c>
      <c r="G170" s="19">
        <f>K143</f>
        <v>1.8534083058625868E-2</v>
      </c>
      <c r="H170" s="19"/>
      <c r="I170" s="19"/>
      <c r="J170" s="19"/>
      <c r="K170" s="19"/>
      <c r="L170" s="19"/>
      <c r="M170" s="19"/>
    </row>
    <row r="171" spans="2:18" hidden="1" x14ac:dyDescent="0.2">
      <c r="C171" s="19" t="s">
        <v>1213</v>
      </c>
      <c r="D171" s="19">
        <f>D163</f>
        <v>0.99647710222335251</v>
      </c>
      <c r="E171" s="19">
        <f>E163</f>
        <v>8.3865277347363723E-2</v>
      </c>
      <c r="F171" s="19">
        <f>F163</f>
        <v>0</v>
      </c>
      <c r="G171" s="19">
        <f>G163</f>
        <v>0</v>
      </c>
      <c r="H171" s="19"/>
      <c r="I171" s="19"/>
      <c r="J171" s="19"/>
      <c r="K171" s="19"/>
      <c r="L171" s="19"/>
      <c r="M171" s="19"/>
    </row>
    <row r="172" spans="2:18" hidden="1" x14ac:dyDescent="0.2">
      <c r="C172" s="19" t="s">
        <v>1218</v>
      </c>
      <c r="D172" s="19">
        <f>D171*D170-E171*E170-F171*F170-G171*G170</f>
        <v>0.76449941891918149</v>
      </c>
      <c r="E172" s="19">
        <f>D171*E170+E171*D170+F171*G170-G171*F170</f>
        <v>-0.64409270134948693</v>
      </c>
      <c r="F172" s="19">
        <f>D171*F170-E171*G170+F171*D170+G171*E170</f>
        <v>1.6866135318339585E-2</v>
      </c>
      <c r="G172" s="19">
        <f>D171*G170+E171*F170-F171*E170+G171*D170</f>
        <v>2.0019091387415814E-2</v>
      </c>
      <c r="H172" s="19"/>
      <c r="I172" s="19"/>
      <c r="J172" s="19"/>
      <c r="K172" s="19"/>
      <c r="L172" s="19"/>
    </row>
    <row r="173" spans="2:18" hidden="1" x14ac:dyDescent="0.2">
      <c r="C173" s="19" t="s">
        <v>848</v>
      </c>
      <c r="D173" s="19">
        <f>F172</f>
        <v>1.6866135318339585E-2</v>
      </c>
      <c r="E173" s="19">
        <f>E172</f>
        <v>-0.64409270134948693</v>
      </c>
      <c r="F173" s="19">
        <f>G172</f>
        <v>2.0019091387415814E-2</v>
      </c>
      <c r="G173" s="19">
        <f>D172</f>
        <v>0.76449941891918149</v>
      </c>
      <c r="H173" s="19" t="s">
        <v>878</v>
      </c>
      <c r="I173" s="19" t="str">
        <f>CONCATENATE(TEXT(D173,"0.000000")," ",TEXT(E173,"0.000000")," ",TEXT(F173,"0.000000")," ",TEXT(G173,"0.000000"))</f>
        <v>0.016866 -0.644093 0.020019 0.764499</v>
      </c>
      <c r="J173" s="19"/>
      <c r="K173" s="19"/>
      <c r="L173" s="19"/>
      <c r="N173" s="1" t="s">
        <v>14</v>
      </c>
      <c r="O173" s="1" t="s">
        <v>15</v>
      </c>
      <c r="P173" s="1" t="s">
        <v>16</v>
      </c>
      <c r="Q173" s="1" t="s">
        <v>17</v>
      </c>
      <c r="R173" s="1" t="s">
        <v>18</v>
      </c>
    </row>
    <row r="174" spans="2:18" hidden="1" x14ac:dyDescent="0.2">
      <c r="B174" s="20" t="s">
        <v>829</v>
      </c>
      <c r="C174" s="19" t="s">
        <v>848</v>
      </c>
      <c r="D174" s="1">
        <f>-F173</f>
        <v>-2.0019091387415814E-2</v>
      </c>
      <c r="E174" s="1">
        <f>-G173</f>
        <v>-0.76449941891918149</v>
      </c>
      <c r="F174" s="1">
        <f>D173</f>
        <v>1.6866135318339585E-2</v>
      </c>
      <c r="G174" s="1">
        <f>E173</f>
        <v>-0.64409270134948693</v>
      </c>
      <c r="H174" s="19" t="s">
        <v>878</v>
      </c>
      <c r="I174" s="19" t="str">
        <f>CONCATENATE(TEXT(D174,"0.000000")," ",TEXT(E174,"0.000000")," ",TEXT(F174,"0.000000")," ",TEXT(G174,"0.000000"))</f>
        <v>-0.020019 -0.764499 0.016866 -0.644093</v>
      </c>
      <c r="J174" s="19"/>
      <c r="K174" s="19"/>
      <c r="L174" s="19"/>
      <c r="N174" s="1">
        <f>IF(ABS(N131+K163)&lt;=1024,N131+K163,IF(N131+K163&gt;1024,N131+K163-2048,N131+K163+2048))</f>
        <v>-2.3497720782404472</v>
      </c>
      <c r="O174" s="1">
        <f>O131+L163</f>
        <v>2.4652966950235276</v>
      </c>
      <c r="P174" s="1">
        <f>IF(ABS(P131+M163)&lt;=1024,P131+M163,IF(P131+M163&gt;1024,P131+M163-2048,P131+M163+2048))</f>
        <v>795.71941488102073</v>
      </c>
      <c r="Q174" s="1">
        <f>IF(ABS(N131+K163)&lt;=1024,Q131,IF(N131+K163&gt;1024,Q131+1,Q131-1))</f>
        <v>-5769</v>
      </c>
      <c r="R174" s="1">
        <f>IF(ABS(P131+M163)&lt;=1024,R131,IF(P131+M163&gt;1024,R131+1,R131-1))</f>
        <v>14677</v>
      </c>
    </row>
    <row r="175" spans="2:18" hidden="1" x14ac:dyDescent="0.2">
      <c r="B175" s="20" t="s">
        <v>830</v>
      </c>
      <c r="C175" s="19" t="s">
        <v>1212</v>
      </c>
      <c r="D175" s="19">
        <f>H142</f>
        <v>0.70803177664893491</v>
      </c>
      <c r="E175" s="19">
        <f>I142</f>
        <v>-0.70618057411355684</v>
      </c>
      <c r="F175" s="19">
        <f>J142</f>
        <v>0</v>
      </c>
      <c r="G175" s="19">
        <f>K142</f>
        <v>0</v>
      </c>
      <c r="H175" s="19"/>
      <c r="I175" s="19"/>
      <c r="J175" s="19"/>
      <c r="K175" s="19"/>
      <c r="L175" s="19"/>
      <c r="N175" s="1"/>
      <c r="O175" s="1"/>
      <c r="P175" s="1"/>
      <c r="Q175" s="1"/>
      <c r="R175" s="1"/>
    </row>
    <row r="176" spans="2:18" hidden="1" x14ac:dyDescent="0.2">
      <c r="B176" s="20"/>
      <c r="C176" s="19" t="s">
        <v>1213</v>
      </c>
      <c r="D176" s="19">
        <f>D171</f>
        <v>0.99647710222335251</v>
      </c>
      <c r="E176" s="19">
        <f>E171</f>
        <v>8.3865277347363723E-2</v>
      </c>
      <c r="F176" s="19">
        <f>F171</f>
        <v>0</v>
      </c>
      <c r="G176" s="19">
        <f>G171</f>
        <v>0</v>
      </c>
      <c r="H176" s="19"/>
      <c r="I176" s="19"/>
      <c r="J176" s="19"/>
      <c r="K176" s="19"/>
      <c r="L176" s="19"/>
      <c r="N176" s="1"/>
      <c r="O176" s="1"/>
      <c r="P176" s="1"/>
      <c r="Q176" s="1"/>
      <c r="R176" s="1"/>
    </row>
    <row r="177" spans="1:20" hidden="1" x14ac:dyDescent="0.2">
      <c r="B177" s="20"/>
      <c r="C177" s="19" t="s">
        <v>1218</v>
      </c>
      <c r="D177" s="19">
        <f>D176*D175-E176*E175-F176*F175-G176*G175</f>
        <v>0.76476148278253664</v>
      </c>
      <c r="E177" s="19">
        <f>D176*E175+E176*D175+F176*G175-G176*F175</f>
        <v>-0.64431349081969091</v>
      </c>
      <c r="F177" s="19">
        <f>D176*F175-E176*G175+F176*D175+G176*E175</f>
        <v>0</v>
      </c>
      <c r="G177" s="19">
        <f>D176*G175+E176*F175-F176*E175+G176*D175</f>
        <v>0</v>
      </c>
      <c r="H177" s="19"/>
      <c r="I177" s="19"/>
      <c r="J177" s="19"/>
      <c r="K177" s="19"/>
      <c r="L177" s="19"/>
      <c r="N177" s="1"/>
      <c r="O177" s="1"/>
      <c r="P177" s="1"/>
      <c r="Q177" s="1"/>
      <c r="R177" s="1"/>
    </row>
    <row r="178" spans="1:20" hidden="1" x14ac:dyDescent="0.2">
      <c r="B178" s="20"/>
      <c r="C178" s="19" t="s">
        <v>848</v>
      </c>
      <c r="D178" s="19">
        <f>F177</f>
        <v>0</v>
      </c>
      <c r="E178" s="19">
        <f>E177</f>
        <v>-0.64431349081969091</v>
      </c>
      <c r="F178" s="19">
        <f>G177</f>
        <v>0</v>
      </c>
      <c r="G178" s="19">
        <f>D177</f>
        <v>0.76476148278253664</v>
      </c>
      <c r="H178" s="19" t="s">
        <v>878</v>
      </c>
      <c r="I178" s="19" t="str">
        <f>CONCATENATE(TEXT(D178,"0.000000")," ",TEXT(E178,"0.000000")," ",TEXT(F178,"0.000000")," ",TEXT(G178,"0.000000"))</f>
        <v>0.000000 -0.644313 0.000000 0.764761</v>
      </c>
      <c r="J178" s="19"/>
      <c r="K178" s="19"/>
      <c r="L178" s="19"/>
      <c r="N178" s="1"/>
      <c r="O178" s="1"/>
      <c r="P178" s="1"/>
      <c r="Q178" s="1"/>
      <c r="R178" s="1"/>
    </row>
    <row r="179" spans="1:20" hidden="1" x14ac:dyDescent="0.2">
      <c r="B179" s="20" t="s">
        <v>831</v>
      </c>
      <c r="C179" s="19" t="s">
        <v>848</v>
      </c>
      <c r="D179" s="1">
        <f>-F178</f>
        <v>0</v>
      </c>
      <c r="E179" s="1">
        <f>-G178</f>
        <v>-0.76476148278253664</v>
      </c>
      <c r="F179" s="1">
        <f>D178</f>
        <v>0</v>
      </c>
      <c r="G179" s="1">
        <f>E178</f>
        <v>-0.64431349081969091</v>
      </c>
      <c r="H179" s="19" t="s">
        <v>878</v>
      </c>
      <c r="I179" s="19" t="str">
        <f>CONCATENATE(TEXT(D179,"0.000000")," ",TEXT(E179,"0.000000")," ",TEXT(F179,"0.000000")," ",TEXT(G179,"0.000000"))</f>
        <v>0.000000 -0.764761 0.000000 -0.644313</v>
      </c>
      <c r="J179" s="19"/>
      <c r="K179" s="19"/>
      <c r="L179" s="19"/>
      <c r="N179" s="1"/>
      <c r="O179" s="1"/>
      <c r="P179" s="1"/>
      <c r="Q179" s="1"/>
      <c r="R179" s="1"/>
    </row>
    <row r="180" spans="1:20" x14ac:dyDescent="0.2">
      <c r="L180" s="59"/>
      <c r="T180" s="59"/>
    </row>
    <row r="181" spans="1:20" x14ac:dyDescent="0.2">
      <c r="A181" s="25" t="s">
        <v>1223</v>
      </c>
      <c r="I181" s="1"/>
      <c r="J181" s="1"/>
      <c r="K181" s="1"/>
      <c r="L181" s="1"/>
    </row>
    <row r="182" spans="1:20" x14ac:dyDescent="0.2">
      <c r="C182" s="26" t="str">
        <f>T(IF(ABS(C183-C151)+ABS(E183-E151)&lt;&gt;0,"WARNING:  TILE CHANGE -&gt; other world tile file!",""))</f>
        <v/>
      </c>
      <c r="H182" s="1"/>
      <c r="I182" s="1"/>
      <c r="J182" s="1"/>
      <c r="K182" s="1"/>
      <c r="L182" s="1"/>
    </row>
    <row r="183" spans="1:20" x14ac:dyDescent="0.2">
      <c r="B183" s="88" t="s">
        <v>28</v>
      </c>
      <c r="C183" s="71">
        <f>Q174</f>
        <v>-5769</v>
      </c>
      <c r="D183" t="s">
        <v>27</v>
      </c>
      <c r="E183" s="71">
        <f>R174</f>
        <v>14677</v>
      </c>
      <c r="F183" t="s">
        <v>32</v>
      </c>
    </row>
    <row r="184" spans="1:20" x14ac:dyDescent="0.2">
      <c r="B184" s="88" t="s">
        <v>26</v>
      </c>
      <c r="C184" s="73" t="str">
        <f>CONCATENATE(TEXT(N174,"0.000")," ",TEXT(O174,"0.000")," ",TEXT(P174,"0.000"))</f>
        <v>-2.350 2.465 795.719</v>
      </c>
    </row>
    <row r="185" spans="1:20" x14ac:dyDescent="0.2">
      <c r="B185" s="88" t="s">
        <v>360</v>
      </c>
      <c r="C185" s="74" t="str">
        <f>I165</f>
        <v>0.026082 0.085140 0.002229 0.996026</v>
      </c>
    </row>
    <row r="186" spans="1:20" x14ac:dyDescent="0.2">
      <c r="B186" s="88" t="s">
        <v>453</v>
      </c>
      <c r="C186" s="74" t="str">
        <f>I169</f>
        <v>0.000000 0.085170 0.000000 0.996366</v>
      </c>
    </row>
    <row r="187" spans="1:20" x14ac:dyDescent="0.2">
      <c r="B187" s="88" t="s">
        <v>828</v>
      </c>
      <c r="C187" s="74" t="str">
        <f>I173</f>
        <v>0.016866 -0.644093 0.020019 0.764499</v>
      </c>
    </row>
    <row r="188" spans="1:20" x14ac:dyDescent="0.2">
      <c r="B188" s="88" t="s">
        <v>829</v>
      </c>
      <c r="C188" s="74" t="str">
        <f>I174</f>
        <v>-0.020019 -0.764499 0.016866 -0.644093</v>
      </c>
    </row>
    <row r="189" spans="1:20" x14ac:dyDescent="0.2">
      <c r="B189" s="88" t="s">
        <v>830</v>
      </c>
      <c r="C189" s="74" t="str">
        <f>I178</f>
        <v>0.000000 -0.644313 0.000000 0.764761</v>
      </c>
    </row>
    <row r="190" spans="1:20" x14ac:dyDescent="0.2">
      <c r="B190" s="88" t="s">
        <v>831</v>
      </c>
      <c r="C190" s="74" t="str">
        <f>I179</f>
        <v>0.000000 -0.764761 0.000000 -0.644313</v>
      </c>
    </row>
    <row r="191" spans="1:20" x14ac:dyDescent="0.2">
      <c r="C191" s="12" t="s">
        <v>456</v>
      </c>
      <c r="L191" s="59"/>
      <c r="T191" s="59"/>
    </row>
    <row r="192" spans="1:20" hidden="1" x14ac:dyDescent="0.2">
      <c r="C192" s="12"/>
    </row>
    <row r="193" spans="2:18" hidden="1" x14ac:dyDescent="0.2">
      <c r="D193" s="1" t="s">
        <v>1214</v>
      </c>
      <c r="E193" s="1" t="s">
        <v>1215</v>
      </c>
      <c r="F193" s="1" t="s">
        <v>1216</v>
      </c>
      <c r="G193" s="1" t="s">
        <v>1217</v>
      </c>
      <c r="I193" s="53" t="s">
        <v>1221</v>
      </c>
      <c r="K193" s="1" t="s">
        <v>40</v>
      </c>
      <c r="L193" s="1" t="s">
        <v>41</v>
      </c>
      <c r="M193" s="1" t="s">
        <v>42</v>
      </c>
      <c r="N193" s="1"/>
      <c r="O193" s="1" t="s">
        <v>207</v>
      </c>
      <c r="P193" s="53"/>
    </row>
    <row r="194" spans="2:18" hidden="1" x14ac:dyDescent="0.2">
      <c r="B194" s="20" t="s">
        <v>451</v>
      </c>
      <c r="C194" s="19" t="s">
        <v>1212</v>
      </c>
      <c r="D194" s="19">
        <f>D164</f>
        <v>0.99602556866861702</v>
      </c>
      <c r="E194" s="19">
        <f>E164</f>
        <v>8.5140451669347944E-2</v>
      </c>
      <c r="F194" s="19">
        <f>F164</f>
        <v>2.608180777152953E-2</v>
      </c>
      <c r="G194" s="19">
        <f>G164</f>
        <v>2.2294777647404399E-3</v>
      </c>
      <c r="H194" s="19"/>
      <c r="I194" s="19">
        <f>SQRT(K194^2+L194^2+M194^2)</f>
        <v>29.042940287483884</v>
      </c>
      <c r="J194" s="19" t="s">
        <v>1219</v>
      </c>
      <c r="K194" s="19">
        <f>K163</f>
        <v>-2.3333768344248003</v>
      </c>
      <c r="L194" s="19">
        <f>L163</f>
        <v>1.5199877443008956</v>
      </c>
      <c r="M194" s="19">
        <f>M163</f>
        <v>28.909122614636704</v>
      </c>
      <c r="N194" s="20" t="s">
        <v>34</v>
      </c>
      <c r="O194" s="1">
        <f>Q80</f>
        <v>0.98593323051089954</v>
      </c>
      <c r="P194" s="1"/>
    </row>
    <row r="195" spans="2:18" hidden="1" x14ac:dyDescent="0.2">
      <c r="B195" s="20"/>
      <c r="C195" s="19" t="s">
        <v>1213</v>
      </c>
      <c r="D195" s="19">
        <f>D163</f>
        <v>0.99647710222335251</v>
      </c>
      <c r="E195" s="19">
        <f>E163</f>
        <v>8.3865277347363723E-2</v>
      </c>
      <c r="F195" s="19">
        <f>F163</f>
        <v>0</v>
      </c>
      <c r="G195" s="19">
        <f>G163</f>
        <v>0</v>
      </c>
      <c r="H195" s="19"/>
      <c r="I195" s="19">
        <f>SQRT(K195^2+L195^2+M195^2)</f>
        <v>29.042940287483887</v>
      </c>
      <c r="J195" s="19" t="s">
        <v>208</v>
      </c>
      <c r="K195" s="19">
        <f>O194*K194-O195*M194</f>
        <v>-7.1324146011352996</v>
      </c>
      <c r="L195" s="19">
        <f>L194</f>
        <v>1.5199877443008956</v>
      </c>
      <c r="M195" s="1">
        <f>O195*K194+O194*M194</f>
        <v>28.112464846701751</v>
      </c>
      <c r="N195" s="20" t="s">
        <v>35</v>
      </c>
      <c r="O195" s="1">
        <f>Q81</f>
        <v>0.16713965709651754</v>
      </c>
      <c r="P195" s="1"/>
    </row>
    <row r="196" spans="2:18" hidden="1" x14ac:dyDescent="0.2">
      <c r="B196" s="20"/>
      <c r="C196" s="19" t="s">
        <v>1218</v>
      </c>
      <c r="D196" s="19">
        <f>D195*D194-E195*E194-F195*F194-G195*G194</f>
        <v>0.98537634481454062</v>
      </c>
      <c r="E196" s="19">
        <f>D195*E194+E195*D194+F195*G194-G195*F194</f>
        <v>0.16837247112291848</v>
      </c>
      <c r="F196" s="19">
        <f>D195*F194-E195*G194+F195*D194+G195*E194</f>
        <v>2.5802948457840525E-2</v>
      </c>
      <c r="G196" s="19">
        <f>D195*G194+E195*F194-F195*E194+G195*D194</f>
        <v>4.408981584959901E-3</v>
      </c>
      <c r="H196" s="19"/>
      <c r="I196" s="19"/>
      <c r="J196" s="19"/>
      <c r="K196" s="19"/>
      <c r="L196" s="19"/>
    </row>
    <row r="197" spans="2:18" hidden="1" x14ac:dyDescent="0.2">
      <c r="B197" s="20"/>
      <c r="C197" s="19" t="s">
        <v>848</v>
      </c>
      <c r="D197" s="19">
        <f>F196</f>
        <v>2.5802948457840525E-2</v>
      </c>
      <c r="E197" s="19">
        <f>E196</f>
        <v>0.16837247112291848</v>
      </c>
      <c r="F197" s="19">
        <f>G196</f>
        <v>4.408981584959901E-3</v>
      </c>
      <c r="G197" s="19">
        <f>D196</f>
        <v>0.98537634481454062</v>
      </c>
      <c r="H197" s="19" t="s">
        <v>878</v>
      </c>
      <c r="I197" s="19" t="str">
        <f>CONCATENATE(TEXT(D197,"0.000000")," ",TEXT(E197,"0.000000")," ",TEXT(F197,"0.000000")," ",TEXT(G197,"0.000000"))</f>
        <v>0.025803 0.168372 0.004409 0.985376</v>
      </c>
      <c r="J197" s="19"/>
      <c r="K197" s="19"/>
      <c r="L197" s="19"/>
    </row>
    <row r="198" spans="2:18" hidden="1" x14ac:dyDescent="0.2">
      <c r="B198" s="20" t="s">
        <v>453</v>
      </c>
      <c r="C198" s="19" t="s">
        <v>1212</v>
      </c>
      <c r="D198" s="19">
        <f>D168</f>
        <v>0.99636646903439063</v>
      </c>
      <c r="E198" s="19">
        <f>E168</f>
        <v>8.5169591897230987E-2</v>
      </c>
      <c r="F198" s="19">
        <f>F168</f>
        <v>0</v>
      </c>
      <c r="G198" s="19">
        <f>G168</f>
        <v>0</v>
      </c>
      <c r="H198" s="19"/>
      <c r="J198" s="19"/>
      <c r="K198" s="19"/>
      <c r="L198" s="19"/>
    </row>
    <row r="199" spans="2:18" hidden="1" x14ac:dyDescent="0.2">
      <c r="B199" s="20"/>
      <c r="C199" s="19" t="s">
        <v>1213</v>
      </c>
      <c r="D199" s="19">
        <f>D195</f>
        <v>0.99647710222335251</v>
      </c>
      <c r="E199" s="19">
        <f>E195</f>
        <v>8.3865277347363723E-2</v>
      </c>
      <c r="F199" s="19">
        <f>F195</f>
        <v>0</v>
      </c>
      <c r="G199" s="19">
        <f>G195</f>
        <v>0</v>
      </c>
      <c r="H199" s="19"/>
      <c r="J199" s="19"/>
      <c r="K199" s="19"/>
      <c r="L199" s="19"/>
    </row>
    <row r="200" spans="2:18" hidden="1" x14ac:dyDescent="0.2">
      <c r="B200" s="20"/>
      <c r="C200" s="19" t="s">
        <v>1218</v>
      </c>
      <c r="D200" s="19">
        <f>D199*D198-E199*E198-F199*F198-G199*G198</f>
        <v>0.98571360036988021</v>
      </c>
      <c r="E200" s="19">
        <f>D199*E198+E199*D198+F199*G198-G199*F198</f>
        <v>0.16843009839648093</v>
      </c>
      <c r="F200" s="19">
        <f>D199*F198-E199*G198+F199*D198+G199*E198</f>
        <v>0</v>
      </c>
      <c r="G200" s="19">
        <f>D199*G198+E199*F198-F199*E198+G199*D198</f>
        <v>0</v>
      </c>
      <c r="H200" s="19"/>
      <c r="I200" s="19"/>
      <c r="J200" s="19"/>
      <c r="K200" s="19"/>
      <c r="L200" s="19"/>
    </row>
    <row r="201" spans="2:18" hidden="1" x14ac:dyDescent="0.2">
      <c r="B201" s="20"/>
      <c r="C201" s="19" t="s">
        <v>848</v>
      </c>
      <c r="D201" s="19">
        <f>F200</f>
        <v>0</v>
      </c>
      <c r="E201" s="19">
        <f>E200</f>
        <v>0.16843009839648093</v>
      </c>
      <c r="F201" s="19">
        <f>G200</f>
        <v>0</v>
      </c>
      <c r="G201" s="19">
        <f>D200</f>
        <v>0.98571360036988021</v>
      </c>
      <c r="H201" s="19" t="s">
        <v>878</v>
      </c>
      <c r="I201" s="19" t="str">
        <f>CONCATENATE(TEXT(D201,"0.000000")," ",TEXT(E201,"0.000000")," ",TEXT(F201,"0.000000")," ",TEXT(G201,"0.000000"))</f>
        <v>0.000000 0.168430 0.000000 0.985714</v>
      </c>
      <c r="J201" s="19"/>
      <c r="K201" s="19"/>
      <c r="L201" s="19"/>
    </row>
    <row r="202" spans="2:18" hidden="1" x14ac:dyDescent="0.2">
      <c r="B202" s="20" t="s">
        <v>828</v>
      </c>
      <c r="C202" s="19" t="s">
        <v>1212</v>
      </c>
      <c r="D202" s="19">
        <f>D172</f>
        <v>0.76449941891918149</v>
      </c>
      <c r="E202" s="19">
        <f>E172</f>
        <v>-0.64409270134948693</v>
      </c>
      <c r="F202" s="19">
        <f>F172</f>
        <v>1.6866135318339585E-2</v>
      </c>
      <c r="G202" s="19">
        <f>G172</f>
        <v>2.0019091387415814E-2</v>
      </c>
      <c r="H202" s="19"/>
      <c r="I202" s="19"/>
      <c r="J202" s="19"/>
      <c r="K202" s="19"/>
      <c r="L202" s="19"/>
      <c r="M202" s="19"/>
    </row>
    <row r="203" spans="2:18" hidden="1" x14ac:dyDescent="0.2">
      <c r="C203" s="19" t="s">
        <v>1213</v>
      </c>
      <c r="D203" s="19">
        <f>D195</f>
        <v>0.99647710222335251</v>
      </c>
      <c r="E203" s="19">
        <f>E195</f>
        <v>8.3865277347363723E-2</v>
      </c>
      <c r="F203" s="19">
        <f>F195</f>
        <v>0</v>
      </c>
      <c r="G203" s="19">
        <f>G195</f>
        <v>0</v>
      </c>
      <c r="H203" s="19"/>
      <c r="I203" s="19"/>
      <c r="J203" s="19"/>
      <c r="K203" s="19"/>
      <c r="L203" s="19"/>
      <c r="M203" s="19"/>
    </row>
    <row r="204" spans="2:18" hidden="1" x14ac:dyDescent="0.2">
      <c r="C204" s="19" t="s">
        <v>1218</v>
      </c>
      <c r="D204" s="19">
        <f>D203*D202-E203*E202-F203*F202-G203*G202</f>
        <v>0.81582317865211018</v>
      </c>
      <c r="E204" s="19">
        <f>D203*E202+E203*D202+F203*G202-G203*F202</f>
        <v>-0.57770867280439231</v>
      </c>
      <c r="F204" s="19">
        <f>D203*F202-E203*G202+F203*D202+G203*E202</f>
        <v>1.5127810996278121E-2</v>
      </c>
      <c r="G204" s="19">
        <f>D203*G202+E203*F202-F203*E202+G203*D202</f>
        <v>2.1363049291127298E-2</v>
      </c>
      <c r="H204" s="19"/>
      <c r="I204" s="19"/>
      <c r="J204" s="19"/>
      <c r="K204" s="19"/>
      <c r="L204" s="19"/>
    </row>
    <row r="205" spans="2:18" hidden="1" x14ac:dyDescent="0.2">
      <c r="C205" s="19" t="s">
        <v>848</v>
      </c>
      <c r="D205" s="19">
        <f>F204</f>
        <v>1.5127810996278121E-2</v>
      </c>
      <c r="E205" s="19">
        <f>E204</f>
        <v>-0.57770867280439231</v>
      </c>
      <c r="F205" s="19">
        <f>G204</f>
        <v>2.1363049291127298E-2</v>
      </c>
      <c r="G205" s="19">
        <f>D204</f>
        <v>0.81582317865211018</v>
      </c>
      <c r="H205" s="19" t="s">
        <v>878</v>
      </c>
      <c r="I205" s="19" t="str">
        <f>CONCATENATE(TEXT(D205,"0.000000")," ",TEXT(E205,"0.000000")," ",TEXT(F205,"0.000000")," ",TEXT(G205,"0.000000"))</f>
        <v>0.015128 -0.577709 0.021363 0.815823</v>
      </c>
      <c r="J205" s="19"/>
      <c r="K205" s="19"/>
      <c r="L205" s="19"/>
      <c r="N205" s="1" t="s">
        <v>14</v>
      </c>
      <c r="O205" s="1" t="s">
        <v>15</v>
      </c>
      <c r="P205" s="1" t="s">
        <v>16</v>
      </c>
      <c r="Q205" s="1" t="s">
        <v>17</v>
      </c>
      <c r="R205" s="1" t="s">
        <v>18</v>
      </c>
    </row>
    <row r="206" spans="2:18" hidden="1" x14ac:dyDescent="0.2">
      <c r="B206" s="20" t="s">
        <v>829</v>
      </c>
      <c r="C206" s="19" t="s">
        <v>848</v>
      </c>
      <c r="D206" s="1">
        <f>-F205</f>
        <v>-2.1363049291127298E-2</v>
      </c>
      <c r="E206" s="1">
        <f>-G205</f>
        <v>-0.81582317865211018</v>
      </c>
      <c r="F206" s="1">
        <f>D205</f>
        <v>1.5127810996278121E-2</v>
      </c>
      <c r="G206" s="1">
        <f>E205</f>
        <v>-0.57770867280439231</v>
      </c>
      <c r="H206" s="19" t="s">
        <v>878</v>
      </c>
      <c r="I206" s="19" t="str">
        <f>CONCATENATE(TEXT(D206,"0.000000")," ",TEXT(E206,"0.000000")," ",TEXT(F206,"0.000000")," ",TEXT(G206,"0.000000"))</f>
        <v>-0.021363 -0.815823 0.015128 -0.577709</v>
      </c>
      <c r="J206" s="19"/>
      <c r="K206" s="19"/>
      <c r="L206" s="19"/>
      <c r="N206" s="1">
        <f>IF(ABS(N174+K195)&lt;=1024,N174+K195,IF(N174+K195&gt;1024,N174+K195-2048,N174+K195+2048))</f>
        <v>-9.4821866793757472</v>
      </c>
      <c r="O206" s="1">
        <f>O174+L195</f>
        <v>3.9852844393244231</v>
      </c>
      <c r="P206" s="1">
        <f>IF(ABS(P174+M195)&lt;=1024,P174+M195,IF(P174+M195&gt;1024,P174+M195-2048,P174+M195+2048))</f>
        <v>823.83187972772248</v>
      </c>
      <c r="Q206" s="1">
        <f>IF(ABS(N174+K195)&lt;=1024,Q174,IF(N174+K195&gt;1024,Q174+1,Q174-1))</f>
        <v>-5769</v>
      </c>
      <c r="R206" s="1">
        <f>IF(ABS(P174+M195)&lt;=1024,R174,IF(P174+M195&gt;1024,R174+1,R174-1))</f>
        <v>14677</v>
      </c>
    </row>
    <row r="207" spans="2:18" hidden="1" x14ac:dyDescent="0.2">
      <c r="B207" s="20" t="s">
        <v>830</v>
      </c>
      <c r="C207" s="19" t="s">
        <v>1212</v>
      </c>
      <c r="D207" s="19">
        <f>D177</f>
        <v>0.76476148278253664</v>
      </c>
      <c r="E207" s="19">
        <f>E177</f>
        <v>-0.64431349081969091</v>
      </c>
      <c r="F207" s="19">
        <f>F177</f>
        <v>0</v>
      </c>
      <c r="G207" s="19">
        <f>G177</f>
        <v>0</v>
      </c>
      <c r="H207" s="19"/>
      <c r="I207" s="19"/>
      <c r="J207" s="19"/>
      <c r="K207" s="19"/>
      <c r="L207" s="19"/>
      <c r="N207" s="1"/>
      <c r="O207" s="1"/>
      <c r="P207" s="1"/>
      <c r="Q207" s="1"/>
      <c r="R207" s="1"/>
    </row>
    <row r="208" spans="2:18" hidden="1" x14ac:dyDescent="0.2">
      <c r="B208" s="20"/>
      <c r="C208" s="19" t="s">
        <v>1213</v>
      </c>
      <c r="D208" s="19">
        <f>D203</f>
        <v>0.99647710222335251</v>
      </c>
      <c r="E208" s="19">
        <f>E203</f>
        <v>8.3865277347363723E-2</v>
      </c>
      <c r="F208" s="19">
        <f>F203</f>
        <v>0</v>
      </c>
      <c r="G208" s="19">
        <f>G203</f>
        <v>0</v>
      </c>
      <c r="H208" s="19"/>
      <c r="I208" s="19"/>
      <c r="J208" s="19"/>
      <c r="K208" s="19"/>
      <c r="L208" s="19"/>
      <c r="N208" s="1"/>
      <c r="O208" s="1"/>
      <c r="P208" s="1"/>
      <c r="Q208" s="1"/>
      <c r="R208" s="1"/>
    </row>
    <row r="209" spans="1:20" hidden="1" x14ac:dyDescent="0.2">
      <c r="B209" s="20"/>
      <c r="C209" s="19" t="s">
        <v>1218</v>
      </c>
      <c r="D209" s="19">
        <f>D208*D207-E208*E207-F208*F207-G208*G207</f>
        <v>0.81610283586141785</v>
      </c>
      <c r="E209" s="19">
        <f>D208*E207+E208*D207+F208*G207-G208*F207</f>
        <v>-0.5779067063972797</v>
      </c>
      <c r="F209" s="19">
        <f>D208*F207-E208*G207+F208*D207+G208*E207</f>
        <v>0</v>
      </c>
      <c r="G209" s="19">
        <f>D208*G207+E208*F207-F208*E207+G208*D207</f>
        <v>0</v>
      </c>
      <c r="H209" s="19"/>
      <c r="I209" s="19"/>
      <c r="J209" s="19"/>
      <c r="K209" s="19"/>
      <c r="L209" s="19"/>
      <c r="N209" s="1"/>
      <c r="O209" s="1"/>
      <c r="P209" s="1"/>
      <c r="Q209" s="1"/>
      <c r="R209" s="1"/>
    </row>
    <row r="210" spans="1:20" hidden="1" x14ac:dyDescent="0.2">
      <c r="B210" s="20"/>
      <c r="C210" s="19" t="s">
        <v>848</v>
      </c>
      <c r="D210" s="19">
        <f>F209</f>
        <v>0</v>
      </c>
      <c r="E210" s="19">
        <f>E209</f>
        <v>-0.5779067063972797</v>
      </c>
      <c r="F210" s="19">
        <f>G209</f>
        <v>0</v>
      </c>
      <c r="G210" s="19">
        <f>D209</f>
        <v>0.81610283586141785</v>
      </c>
      <c r="H210" s="19" t="s">
        <v>878</v>
      </c>
      <c r="I210" s="19" t="str">
        <f>CONCATENATE(TEXT(D210,"0.000000")," ",TEXT(E210,"0.000000")," ",TEXT(F210,"0.000000")," ",TEXT(G210,"0.000000"))</f>
        <v>0.000000 -0.577907 0.000000 0.816103</v>
      </c>
      <c r="J210" s="19"/>
      <c r="K210" s="19"/>
      <c r="L210" s="19"/>
      <c r="N210" s="1"/>
      <c r="O210" s="1"/>
      <c r="P210" s="1"/>
      <c r="Q210" s="1"/>
      <c r="R210" s="1"/>
    </row>
    <row r="211" spans="1:20" hidden="1" x14ac:dyDescent="0.2">
      <c r="B211" s="20" t="s">
        <v>831</v>
      </c>
      <c r="C211" s="19" t="s">
        <v>848</v>
      </c>
      <c r="D211" s="1">
        <f>-F210</f>
        <v>0</v>
      </c>
      <c r="E211" s="1">
        <f>-G210</f>
        <v>-0.81610283586141785</v>
      </c>
      <c r="F211" s="1">
        <f>D210</f>
        <v>0</v>
      </c>
      <c r="G211" s="1">
        <f>E210</f>
        <v>-0.5779067063972797</v>
      </c>
      <c r="H211" s="19" t="s">
        <v>878</v>
      </c>
      <c r="I211" s="19" t="str">
        <f>CONCATENATE(TEXT(D211,"0.000000")," ",TEXT(E211,"0.000000")," ",TEXT(F211,"0.000000")," ",TEXT(G211,"0.000000"))</f>
        <v>0.000000 -0.816103 0.000000 -0.577907</v>
      </c>
      <c r="J211" s="19"/>
      <c r="K211" s="19"/>
      <c r="L211" s="19"/>
      <c r="N211" s="1"/>
      <c r="O211" s="1"/>
      <c r="P211" s="1"/>
      <c r="Q211" s="1"/>
      <c r="R211" s="1"/>
    </row>
    <row r="212" spans="1:20" x14ac:dyDescent="0.2">
      <c r="C212" s="41"/>
      <c r="L212" s="59"/>
      <c r="T212" s="59"/>
    </row>
    <row r="213" spans="1:20" x14ac:dyDescent="0.2">
      <c r="A213" s="25" t="s">
        <v>1224</v>
      </c>
      <c r="H213" s="1"/>
      <c r="I213" s="1"/>
      <c r="J213" s="1"/>
      <c r="K213" s="1"/>
      <c r="L213" s="1"/>
      <c r="N213" s="1"/>
      <c r="O213" s="1"/>
      <c r="P213" s="1"/>
      <c r="Q213" s="1"/>
      <c r="R213" s="1"/>
    </row>
    <row r="214" spans="1:20" x14ac:dyDescent="0.2">
      <c r="C214" s="26" t="str">
        <f>T(IF(ABS(C215-C183)+ABS(E215-E183)&lt;&gt;0,"WARNING:  TILE CHANGE -&gt; other world tile file!",""))</f>
        <v/>
      </c>
      <c r="H214" s="1"/>
      <c r="I214" s="1"/>
      <c r="J214" s="1"/>
      <c r="K214" s="1"/>
      <c r="L214" s="1"/>
    </row>
    <row r="215" spans="1:20" x14ac:dyDescent="0.2">
      <c r="B215" s="88" t="s">
        <v>28</v>
      </c>
      <c r="C215" s="71">
        <f>Q206</f>
        <v>-5769</v>
      </c>
      <c r="D215" t="s">
        <v>27</v>
      </c>
      <c r="E215" s="71">
        <f>R206</f>
        <v>14677</v>
      </c>
      <c r="F215" t="s">
        <v>32</v>
      </c>
    </row>
    <row r="216" spans="1:20" x14ac:dyDescent="0.2">
      <c r="B216" s="88" t="s">
        <v>26</v>
      </c>
      <c r="C216" s="73" t="str">
        <f>CONCATENATE(TEXT(N206,"0.000")," ",TEXT(O206,"0.000")," ",TEXT(P206,"0.000"))</f>
        <v>-9.482 3.985 823.832</v>
      </c>
    </row>
    <row r="217" spans="1:20" x14ac:dyDescent="0.2">
      <c r="B217" s="88" t="s">
        <v>360</v>
      </c>
      <c r="C217" s="74" t="str">
        <f>I197</f>
        <v>0.025803 0.168372 0.004409 0.985376</v>
      </c>
    </row>
    <row r="218" spans="1:20" x14ac:dyDescent="0.2">
      <c r="B218" s="88" t="s">
        <v>453</v>
      </c>
      <c r="C218" s="74" t="str">
        <f>I201</f>
        <v>0.000000 0.168430 0.000000 0.985714</v>
      </c>
    </row>
    <row r="219" spans="1:20" x14ac:dyDescent="0.2">
      <c r="B219" s="88" t="s">
        <v>828</v>
      </c>
      <c r="C219" s="74" t="str">
        <f>I205</f>
        <v>0.015128 -0.577709 0.021363 0.815823</v>
      </c>
    </row>
    <row r="220" spans="1:20" x14ac:dyDescent="0.2">
      <c r="B220" s="88" t="s">
        <v>829</v>
      </c>
      <c r="C220" s="74" t="str">
        <f>I206</f>
        <v>-0.021363 -0.815823 0.015128 -0.577709</v>
      </c>
    </row>
    <row r="221" spans="1:20" x14ac:dyDescent="0.2">
      <c r="B221" s="88" t="s">
        <v>830</v>
      </c>
      <c r="C221" s="74" t="str">
        <f>I210</f>
        <v>0.000000 -0.577907 0.000000 0.816103</v>
      </c>
    </row>
    <row r="222" spans="1:20" x14ac:dyDescent="0.2">
      <c r="B222" s="88" t="s">
        <v>831</v>
      </c>
      <c r="C222" s="74" t="str">
        <f>I211</f>
        <v>0.000000 -0.816103 0.000000 -0.577907</v>
      </c>
    </row>
    <row r="223" spans="1:20" x14ac:dyDescent="0.2">
      <c r="C223" s="12" t="s">
        <v>456</v>
      </c>
      <c r="L223" s="59"/>
      <c r="T223" s="59"/>
    </row>
    <row r="224" spans="1:20" hidden="1" x14ac:dyDescent="0.2">
      <c r="C224" s="12"/>
    </row>
    <row r="225" spans="2:18" hidden="1" x14ac:dyDescent="0.2">
      <c r="D225" s="1" t="s">
        <v>1214</v>
      </c>
      <c r="E225" s="1" t="s">
        <v>1215</v>
      </c>
      <c r="F225" s="1" t="s">
        <v>1216</v>
      </c>
      <c r="G225" s="1" t="s">
        <v>1217</v>
      </c>
      <c r="I225" s="53" t="s">
        <v>1221</v>
      </c>
      <c r="K225" s="1" t="s">
        <v>40</v>
      </c>
      <c r="L225" s="1" t="s">
        <v>41</v>
      </c>
      <c r="M225" s="1" t="s">
        <v>42</v>
      </c>
      <c r="N225" s="1"/>
      <c r="O225" s="1" t="s">
        <v>207</v>
      </c>
      <c r="P225" s="53"/>
    </row>
    <row r="226" spans="2:18" hidden="1" x14ac:dyDescent="0.2">
      <c r="B226" s="20" t="s">
        <v>451</v>
      </c>
      <c r="C226" s="19" t="s">
        <v>1212</v>
      </c>
      <c r="D226" s="19">
        <f>D196</f>
        <v>0.98537634481454062</v>
      </c>
      <c r="E226" s="19">
        <f>E196</f>
        <v>0.16837247112291848</v>
      </c>
      <c r="F226" s="19">
        <f>F196</f>
        <v>2.5802948457840525E-2</v>
      </c>
      <c r="G226" s="19">
        <f>G196</f>
        <v>4.408981584959901E-3</v>
      </c>
      <c r="H226" s="19"/>
      <c r="I226" s="19">
        <f>SQRT(K226^2+L226^2+M226^2)</f>
        <v>29.042940287483887</v>
      </c>
      <c r="J226" s="19" t="s">
        <v>1219</v>
      </c>
      <c r="K226" s="19">
        <f>K195</f>
        <v>-7.1324146011352996</v>
      </c>
      <c r="L226" s="19">
        <f>L195</f>
        <v>1.5199877443008956</v>
      </c>
      <c r="M226" s="19">
        <f>M195</f>
        <v>28.112464846701751</v>
      </c>
      <c r="N226" s="20" t="s">
        <v>34</v>
      </c>
      <c r="O226" s="1">
        <f>O194</f>
        <v>0.98593323051089954</v>
      </c>
      <c r="P226" s="1"/>
    </row>
    <row r="227" spans="2:18" hidden="1" x14ac:dyDescent="0.2">
      <c r="B227" s="20"/>
      <c r="C227" s="19" t="s">
        <v>1213</v>
      </c>
      <c r="D227" s="19">
        <f>D195</f>
        <v>0.99647710222335251</v>
      </c>
      <c r="E227" s="19">
        <f>E195</f>
        <v>8.3865277347363723E-2</v>
      </c>
      <c r="F227" s="19">
        <f>F195</f>
        <v>0</v>
      </c>
      <c r="G227" s="19">
        <f>G195</f>
        <v>0</v>
      </c>
      <c r="H227" s="19"/>
      <c r="I227" s="19">
        <f>SQRT(K227^2+L227^2+M227^2)</f>
        <v>29.042940287483887</v>
      </c>
      <c r="J227" s="19" t="s">
        <v>208</v>
      </c>
      <c r="K227" s="19">
        <f>O226*K226-O227*M226</f>
        <v>-11.73079230365607</v>
      </c>
      <c r="L227" s="19">
        <f>L226</f>
        <v>1.5199877443008956</v>
      </c>
      <c r="M227" s="1">
        <f>O227*K226+O226*M226</f>
        <v>26.524903953228808</v>
      </c>
      <c r="N227" s="20" t="s">
        <v>35</v>
      </c>
      <c r="O227" s="1">
        <f>O195</f>
        <v>0.16713965709651754</v>
      </c>
      <c r="P227" s="1"/>
    </row>
    <row r="228" spans="2:18" hidden="1" x14ac:dyDescent="0.2">
      <c r="B228" s="20"/>
      <c r="C228" s="19" t="s">
        <v>1218</v>
      </c>
      <c r="D228" s="19">
        <f>D227*D226-E227*E226-F227*F226-G227*G226</f>
        <v>0.96778436069184792</v>
      </c>
      <c r="E228" s="19">
        <f>D227*E226+E227*D226+F227*G226-G227*F226</f>
        <v>0.25041817256815385</v>
      </c>
      <c r="F228" s="19">
        <f>D227*F226-E227*G226+F227*D226+G227*E226</f>
        <v>2.534228684464537E-2</v>
      </c>
      <c r="G228" s="19">
        <f>D227*G226+E227*F226-F227*E226+G227*D226</f>
        <v>6.5574206223334925E-3</v>
      </c>
      <c r="H228" s="19"/>
      <c r="I228" s="19"/>
      <c r="J228" s="19"/>
      <c r="K228" s="19"/>
      <c r="L228" s="19"/>
    </row>
    <row r="229" spans="2:18" hidden="1" x14ac:dyDescent="0.2">
      <c r="B229" s="20"/>
      <c r="C229" s="19" t="s">
        <v>848</v>
      </c>
      <c r="D229" s="19">
        <f>F228</f>
        <v>2.534228684464537E-2</v>
      </c>
      <c r="E229" s="19">
        <f>E228</f>
        <v>0.25041817256815385</v>
      </c>
      <c r="F229" s="19">
        <f>G228</f>
        <v>6.5574206223334925E-3</v>
      </c>
      <c r="G229" s="19">
        <f>D228</f>
        <v>0.96778436069184792</v>
      </c>
      <c r="H229" s="19" t="s">
        <v>878</v>
      </c>
      <c r="I229" s="19" t="str">
        <f>CONCATENATE(TEXT(D229,"0.000000")," ",TEXT(E229,"0.000000")," ",TEXT(F229,"0.000000")," ",TEXT(G229,"0.000000"))</f>
        <v>0.025342 0.250418 0.006557 0.967784</v>
      </c>
      <c r="J229" s="19"/>
      <c r="K229" s="19"/>
      <c r="L229" s="19"/>
    </row>
    <row r="230" spans="2:18" hidden="1" x14ac:dyDescent="0.2">
      <c r="B230" s="20" t="s">
        <v>453</v>
      </c>
      <c r="C230" s="19" t="s">
        <v>1212</v>
      </c>
      <c r="D230" s="19">
        <f>D200</f>
        <v>0.98571360036988021</v>
      </c>
      <c r="E230" s="19">
        <f>E200</f>
        <v>0.16843009839648093</v>
      </c>
      <c r="F230" s="19">
        <f>F200</f>
        <v>0</v>
      </c>
      <c r="G230" s="19">
        <f>G200</f>
        <v>0</v>
      </c>
      <c r="H230" s="19"/>
      <c r="J230" s="19"/>
      <c r="K230" s="19"/>
      <c r="L230" s="19"/>
    </row>
    <row r="231" spans="2:18" hidden="1" x14ac:dyDescent="0.2">
      <c r="B231" s="20"/>
      <c r="C231" s="19" t="s">
        <v>1213</v>
      </c>
      <c r="D231" s="19">
        <f>D227</f>
        <v>0.99647710222335251</v>
      </c>
      <c r="E231" s="19">
        <f>E227</f>
        <v>8.3865277347363723E-2</v>
      </c>
      <c r="F231" s="19">
        <f>F227</f>
        <v>0</v>
      </c>
      <c r="G231" s="19">
        <f>G227</f>
        <v>0</v>
      </c>
      <c r="H231" s="19"/>
      <c r="J231" s="19"/>
      <c r="K231" s="19"/>
      <c r="L231" s="19"/>
    </row>
    <row r="232" spans="2:18" hidden="1" x14ac:dyDescent="0.2">
      <c r="B232" s="20"/>
      <c r="C232" s="19" t="s">
        <v>1218</v>
      </c>
      <c r="D232" s="19">
        <f>D231*D230-E231*E230-F231*F230-G231*G230</f>
        <v>0.96811559520306134</v>
      </c>
      <c r="E232" s="19">
        <f>D231*E230+E231*D230+F231*G230-G231*F230</f>
        <v>0.25050388085740788</v>
      </c>
      <c r="F232" s="19">
        <f>D231*F230-E231*G230+F231*D230+G231*E230</f>
        <v>0</v>
      </c>
      <c r="G232" s="19">
        <f>D231*G230+E231*F230-F231*E230+G231*D230</f>
        <v>0</v>
      </c>
      <c r="H232" s="19"/>
      <c r="I232" s="19"/>
      <c r="J232" s="19"/>
      <c r="K232" s="19"/>
      <c r="L232" s="19"/>
    </row>
    <row r="233" spans="2:18" hidden="1" x14ac:dyDescent="0.2">
      <c r="B233" s="20"/>
      <c r="C233" s="19" t="s">
        <v>848</v>
      </c>
      <c r="D233" s="19">
        <f>F232</f>
        <v>0</v>
      </c>
      <c r="E233" s="19">
        <f>E232</f>
        <v>0.25050388085740788</v>
      </c>
      <c r="F233" s="19">
        <f>G232</f>
        <v>0</v>
      </c>
      <c r="G233" s="19">
        <f>D232</f>
        <v>0.96811559520306134</v>
      </c>
      <c r="H233" s="19" t="s">
        <v>878</v>
      </c>
      <c r="I233" s="19" t="str">
        <f>CONCATENATE(TEXT(D233,"0.000000")," ",TEXT(E233,"0.000000")," ",TEXT(F233,"0.000000")," ",TEXT(G233,"0.000000"))</f>
        <v>0.000000 0.250504 0.000000 0.968116</v>
      </c>
      <c r="J233" s="19"/>
      <c r="K233" s="19"/>
      <c r="L233" s="19"/>
    </row>
    <row r="234" spans="2:18" hidden="1" x14ac:dyDescent="0.2">
      <c r="B234" s="20" t="s">
        <v>828</v>
      </c>
      <c r="C234" s="19" t="s">
        <v>1212</v>
      </c>
      <c r="D234" s="19">
        <f>D204</f>
        <v>0.81582317865211018</v>
      </c>
      <c r="E234" s="19">
        <f>E204</f>
        <v>-0.57770867280439231</v>
      </c>
      <c r="F234" s="19">
        <f>F204</f>
        <v>1.5127810996278121E-2</v>
      </c>
      <c r="G234" s="19">
        <f>G204</f>
        <v>2.1363049291127298E-2</v>
      </c>
      <c r="H234" s="19"/>
      <c r="I234" s="19"/>
      <c r="J234" s="19"/>
      <c r="K234" s="19"/>
      <c r="L234" s="19"/>
      <c r="M234" s="19"/>
    </row>
    <row r="235" spans="2:18" hidden="1" x14ac:dyDescent="0.2">
      <c r="C235" s="19" t="s">
        <v>1213</v>
      </c>
      <c r="D235" s="19">
        <f>D227</f>
        <v>0.99647710222335251</v>
      </c>
      <c r="E235" s="19">
        <f>E227</f>
        <v>8.3865277347363723E-2</v>
      </c>
      <c r="F235" s="19">
        <f>F227</f>
        <v>0</v>
      </c>
      <c r="G235" s="19">
        <f>G227</f>
        <v>0</v>
      </c>
      <c r="H235" s="19"/>
      <c r="I235" s="19"/>
      <c r="J235" s="19"/>
      <c r="K235" s="19"/>
      <c r="L235" s="19"/>
      <c r="M235" s="19"/>
    </row>
    <row r="236" spans="2:18" hidden="1" x14ac:dyDescent="0.2">
      <c r="C236" s="19" t="s">
        <v>1218</v>
      </c>
      <c r="D236" s="19">
        <f>D235*D234-E235*E234-F235*F234-G235*G234</f>
        <v>0.86139881506061688</v>
      </c>
      <c r="E236" s="19">
        <f>D235*E234+E235*D234+F235*G234-G235*F234</f>
        <v>-0.5072542270613527</v>
      </c>
      <c r="F236" s="19">
        <f>D235*F234-E235*G234+F235*D234+G235*E234</f>
        <v>1.3282899210767996E-2</v>
      </c>
      <c r="G236" s="19">
        <f>D235*G234+E235*F234-F235*E234+G235*D234</f>
        <v>2.255648751713854E-2</v>
      </c>
      <c r="H236" s="19"/>
      <c r="I236" s="19"/>
      <c r="J236" s="19"/>
      <c r="K236" s="19"/>
      <c r="L236" s="19"/>
    </row>
    <row r="237" spans="2:18" hidden="1" x14ac:dyDescent="0.2">
      <c r="C237" s="19" t="s">
        <v>848</v>
      </c>
      <c r="D237" s="19">
        <f>F236</f>
        <v>1.3282899210767996E-2</v>
      </c>
      <c r="E237" s="19">
        <f>E236</f>
        <v>-0.5072542270613527</v>
      </c>
      <c r="F237" s="19">
        <f>G236</f>
        <v>2.255648751713854E-2</v>
      </c>
      <c r="G237" s="19">
        <f>D236</f>
        <v>0.86139881506061688</v>
      </c>
      <c r="H237" s="19" t="s">
        <v>878</v>
      </c>
      <c r="I237" s="19" t="str">
        <f>CONCATENATE(TEXT(D237,"0.000000")," ",TEXT(E237,"0.000000")," ",TEXT(F237,"0.000000")," ",TEXT(G237,"0.000000"))</f>
        <v>0.013283 -0.507254 0.022556 0.861399</v>
      </c>
      <c r="J237" s="19"/>
      <c r="K237" s="19"/>
      <c r="L237" s="19"/>
      <c r="N237" s="1" t="s">
        <v>14</v>
      </c>
      <c r="O237" s="1" t="s">
        <v>15</v>
      </c>
      <c r="P237" s="1" t="s">
        <v>16</v>
      </c>
      <c r="Q237" s="1" t="s">
        <v>17</v>
      </c>
      <c r="R237" s="1" t="s">
        <v>18</v>
      </c>
    </row>
    <row r="238" spans="2:18" hidden="1" x14ac:dyDescent="0.2">
      <c r="B238" s="20" t="s">
        <v>829</v>
      </c>
      <c r="C238" s="19" t="s">
        <v>848</v>
      </c>
      <c r="D238" s="1">
        <f>-F237</f>
        <v>-2.255648751713854E-2</v>
      </c>
      <c r="E238" s="1">
        <f>-G237</f>
        <v>-0.86139881506061688</v>
      </c>
      <c r="F238" s="1">
        <f>D237</f>
        <v>1.3282899210767996E-2</v>
      </c>
      <c r="G238" s="1">
        <f>E237</f>
        <v>-0.5072542270613527</v>
      </c>
      <c r="H238" s="19" t="s">
        <v>878</v>
      </c>
      <c r="I238" s="19" t="str">
        <f>CONCATENATE(TEXT(D238,"0.000000")," ",TEXT(E238,"0.000000")," ",TEXT(F238,"0.000000")," ",TEXT(G238,"0.000000"))</f>
        <v>-0.022556 -0.861399 0.013283 -0.507254</v>
      </c>
      <c r="J238" s="19"/>
      <c r="K238" s="19"/>
      <c r="L238" s="19"/>
      <c r="N238" s="1">
        <f>IF(ABS(N206+K227)&lt;=1024,N206+K227,IF(N206+K227&gt;1024,N206+K227-2048,N206+K227+2048))</f>
        <v>-21.212978983031817</v>
      </c>
      <c r="O238" s="1">
        <f>O206+L227</f>
        <v>5.5052721836253191</v>
      </c>
      <c r="P238" s="1">
        <f>IF(ABS(P206+M227)&lt;=1024,P206+M227,IF(P206+M227&gt;1024,P206+M227-2048,P206+M227+2048))</f>
        <v>850.35678368095125</v>
      </c>
      <c r="Q238" s="1">
        <f>IF(ABS(N206+K227)&lt;=1024,Q206,IF(N206+K227&gt;1024,Q206+1,Q206-1))</f>
        <v>-5769</v>
      </c>
      <c r="R238" s="1">
        <f>IF(ABS(P206+M227)&lt;=1024,R206,IF(P206+M227&gt;1024,R206+1,R206-1))</f>
        <v>14677</v>
      </c>
    </row>
    <row r="239" spans="2:18" hidden="1" x14ac:dyDescent="0.2">
      <c r="B239" s="20" t="s">
        <v>830</v>
      </c>
      <c r="C239" s="19" t="s">
        <v>1212</v>
      </c>
      <c r="D239" s="19">
        <f>D209</f>
        <v>0.81610283586141785</v>
      </c>
      <c r="E239" s="19">
        <f>E209</f>
        <v>-0.5779067063972797</v>
      </c>
      <c r="F239" s="19">
        <f>F209</f>
        <v>0</v>
      </c>
      <c r="G239" s="19">
        <f>G209</f>
        <v>0</v>
      </c>
      <c r="H239" s="19"/>
      <c r="I239" s="19"/>
      <c r="J239" s="19"/>
      <c r="K239" s="19"/>
      <c r="L239" s="19"/>
      <c r="N239" s="1"/>
      <c r="O239" s="1"/>
      <c r="P239" s="1"/>
      <c r="Q239" s="1"/>
      <c r="R239" s="1"/>
    </row>
    <row r="240" spans="2:18" hidden="1" x14ac:dyDescent="0.2">
      <c r="B240" s="20"/>
      <c r="C240" s="19" t="s">
        <v>1213</v>
      </c>
      <c r="D240" s="19">
        <f>D235</f>
        <v>0.99647710222335251</v>
      </c>
      <c r="E240" s="19">
        <f>E235</f>
        <v>8.3865277347363723E-2</v>
      </c>
      <c r="F240" s="19">
        <f>F235</f>
        <v>0</v>
      </c>
      <c r="G240" s="19">
        <f>G235</f>
        <v>0</v>
      </c>
      <c r="H240" s="19"/>
      <c r="I240" s="19"/>
      <c r="J240" s="19"/>
      <c r="K240" s="19"/>
      <c r="L240" s="19"/>
      <c r="N240" s="1"/>
      <c r="O240" s="1"/>
      <c r="P240" s="1"/>
      <c r="Q240" s="1"/>
      <c r="R240" s="1"/>
    </row>
    <row r="241" spans="1:20" hidden="1" x14ac:dyDescent="0.2">
      <c r="B241" s="20"/>
      <c r="C241" s="19" t="s">
        <v>1218</v>
      </c>
      <c r="D241" s="19">
        <f>D240*D239-E240*E239-F240*F239-G240*G239</f>
        <v>0.86169409520835527</v>
      </c>
      <c r="E241" s="19">
        <f>D240*E239+E240*D239+F240*G239-G240*F239</f>
        <v>-0.50742810947271522</v>
      </c>
      <c r="F241" s="19">
        <f>D240*F239-E240*G239+F240*D239+G240*E239</f>
        <v>0</v>
      </c>
      <c r="G241" s="19">
        <f>D240*G239+E240*F239-F240*E239+G240*D239</f>
        <v>0</v>
      </c>
      <c r="H241" s="19"/>
      <c r="I241" s="19"/>
      <c r="J241" s="19"/>
      <c r="K241" s="19"/>
      <c r="L241" s="19"/>
      <c r="N241" s="1"/>
      <c r="O241" s="1"/>
      <c r="P241" s="1"/>
      <c r="Q241" s="1"/>
      <c r="R241" s="1"/>
    </row>
    <row r="242" spans="1:20" hidden="1" x14ac:dyDescent="0.2">
      <c r="B242" s="20"/>
      <c r="C242" s="19" t="s">
        <v>848</v>
      </c>
      <c r="D242" s="19">
        <f>F241</f>
        <v>0</v>
      </c>
      <c r="E242" s="19">
        <f>E241</f>
        <v>-0.50742810947271522</v>
      </c>
      <c r="F242" s="19">
        <f>G241</f>
        <v>0</v>
      </c>
      <c r="G242" s="19">
        <f>D241</f>
        <v>0.86169409520835527</v>
      </c>
      <c r="H242" s="19" t="s">
        <v>878</v>
      </c>
      <c r="I242" s="19" t="str">
        <f>CONCATENATE(TEXT(D242,"0.000000")," ",TEXT(E242,"0.000000")," ",TEXT(F242,"0.000000")," ",TEXT(G242,"0.000000"))</f>
        <v>0.000000 -0.507428 0.000000 0.861694</v>
      </c>
      <c r="J242" s="19"/>
      <c r="K242" s="19"/>
      <c r="L242" s="19"/>
      <c r="N242" s="1"/>
      <c r="O242" s="1"/>
      <c r="P242" s="1"/>
      <c r="Q242" s="1"/>
      <c r="R242" s="1"/>
    </row>
    <row r="243" spans="1:20" hidden="1" x14ac:dyDescent="0.2">
      <c r="B243" s="20" t="s">
        <v>831</v>
      </c>
      <c r="C243" s="19" t="s">
        <v>848</v>
      </c>
      <c r="D243" s="1">
        <f>-F242</f>
        <v>0</v>
      </c>
      <c r="E243" s="1">
        <f>-G242</f>
        <v>-0.86169409520835527</v>
      </c>
      <c r="F243" s="1">
        <f>D242</f>
        <v>0</v>
      </c>
      <c r="G243" s="1">
        <f>E242</f>
        <v>-0.50742810947271522</v>
      </c>
      <c r="H243" s="19" t="s">
        <v>878</v>
      </c>
      <c r="I243" s="19" t="str">
        <f>CONCATENATE(TEXT(D243,"0.000000")," ",TEXT(E243,"0.000000")," ",TEXT(F243,"0.000000")," ",TEXT(G243,"0.000000"))</f>
        <v>0.000000 -0.861694 0.000000 -0.507428</v>
      </c>
      <c r="J243" s="19"/>
      <c r="K243" s="19"/>
      <c r="L243" s="19"/>
      <c r="N243" s="1"/>
      <c r="O243" s="1"/>
      <c r="P243" s="1"/>
      <c r="Q243" s="1"/>
      <c r="R243" s="1"/>
    </row>
    <row r="244" spans="1:20" x14ac:dyDescent="0.2">
      <c r="C244" s="41"/>
      <c r="L244" s="59"/>
      <c r="T244" s="59"/>
    </row>
    <row r="245" spans="1:20" x14ac:dyDescent="0.2">
      <c r="A245" s="25" t="s">
        <v>1225</v>
      </c>
      <c r="H245" s="1"/>
      <c r="I245" s="1"/>
      <c r="J245" s="1"/>
      <c r="K245" s="1"/>
      <c r="L245" s="1"/>
      <c r="N245" s="1"/>
      <c r="O245" s="1"/>
      <c r="P245" s="1"/>
      <c r="Q245" s="1"/>
      <c r="R245" s="1"/>
    </row>
    <row r="246" spans="1:20" x14ac:dyDescent="0.2">
      <c r="C246" s="26" t="str">
        <f>T(IF(ABS(C247-C215)+ABS(E247-E215)&lt;&gt;0,"WARNING:  TILE CHANGE -&gt; other world tile file!",""))</f>
        <v/>
      </c>
      <c r="H246" s="1"/>
      <c r="I246" s="1"/>
      <c r="J246" s="1"/>
      <c r="K246" s="1"/>
      <c r="L246" s="1"/>
      <c r="N246" s="1"/>
      <c r="O246" s="1"/>
      <c r="P246" s="1"/>
      <c r="Q246" s="1"/>
      <c r="R246" s="1"/>
    </row>
    <row r="247" spans="1:20" x14ac:dyDescent="0.2">
      <c r="B247" s="88" t="s">
        <v>28</v>
      </c>
      <c r="C247" s="71">
        <f>Q238</f>
        <v>-5769</v>
      </c>
      <c r="D247" t="s">
        <v>27</v>
      </c>
      <c r="E247" s="71">
        <f>R238</f>
        <v>14677</v>
      </c>
      <c r="F247" t="s">
        <v>32</v>
      </c>
    </row>
    <row r="248" spans="1:20" x14ac:dyDescent="0.2">
      <c r="B248" s="88" t="s">
        <v>26</v>
      </c>
      <c r="C248" s="73" t="str">
        <f>CONCATENATE(TEXT(N238,"0.000")," ",TEXT(O238,"0.000")," ",TEXT(P238,"0.000"))</f>
        <v>-21.213 5.505 850.357</v>
      </c>
    </row>
    <row r="249" spans="1:20" x14ac:dyDescent="0.2">
      <c r="B249" s="88" t="s">
        <v>360</v>
      </c>
      <c r="C249" s="74" t="str">
        <f>I229</f>
        <v>0.025342 0.250418 0.006557 0.967784</v>
      </c>
    </row>
    <row r="250" spans="1:20" x14ac:dyDescent="0.2">
      <c r="B250" s="88" t="s">
        <v>453</v>
      </c>
      <c r="C250" s="74" t="str">
        <f>I233</f>
        <v>0.000000 0.250504 0.000000 0.968116</v>
      </c>
    </row>
    <row r="251" spans="1:20" x14ac:dyDescent="0.2">
      <c r="B251" s="88" t="s">
        <v>828</v>
      </c>
      <c r="C251" s="74" t="str">
        <f>I237</f>
        <v>0.013283 -0.507254 0.022556 0.861399</v>
      </c>
    </row>
    <row r="252" spans="1:20" x14ac:dyDescent="0.2">
      <c r="B252" s="88" t="s">
        <v>829</v>
      </c>
      <c r="C252" s="74" t="str">
        <f>I238</f>
        <v>-0.022556 -0.861399 0.013283 -0.507254</v>
      </c>
    </row>
    <row r="253" spans="1:20" x14ac:dyDescent="0.2">
      <c r="B253" s="88" t="s">
        <v>830</v>
      </c>
      <c r="C253" s="74" t="str">
        <f>I242</f>
        <v>0.000000 -0.507428 0.000000 0.861694</v>
      </c>
    </row>
    <row r="254" spans="1:20" x14ac:dyDescent="0.2">
      <c r="B254" s="88" t="s">
        <v>831</v>
      </c>
      <c r="C254" s="74" t="str">
        <f>I243</f>
        <v>0.000000 -0.861694 0.000000 -0.507428</v>
      </c>
    </row>
    <row r="255" spans="1:20" x14ac:dyDescent="0.2">
      <c r="C255" s="12" t="s">
        <v>456</v>
      </c>
      <c r="L255" s="59"/>
      <c r="T255" s="59"/>
    </row>
    <row r="256" spans="1:20" hidden="1" x14ac:dyDescent="0.2">
      <c r="C256" s="12"/>
    </row>
    <row r="257" spans="2:18" hidden="1" x14ac:dyDescent="0.2">
      <c r="D257" s="1" t="s">
        <v>1214</v>
      </c>
      <c r="E257" s="1" t="s">
        <v>1215</v>
      </c>
      <c r="F257" s="1" t="s">
        <v>1216</v>
      </c>
      <c r="G257" s="1" t="s">
        <v>1217</v>
      </c>
      <c r="I257" s="53" t="s">
        <v>1221</v>
      </c>
      <c r="K257" s="1" t="s">
        <v>40</v>
      </c>
      <c r="L257" s="1" t="s">
        <v>41</v>
      </c>
      <c r="M257" s="1" t="s">
        <v>42</v>
      </c>
      <c r="N257" s="1"/>
      <c r="O257" s="1" t="s">
        <v>207</v>
      </c>
      <c r="P257" s="53"/>
    </row>
    <row r="258" spans="2:18" hidden="1" x14ac:dyDescent="0.2">
      <c r="B258" s="20" t="s">
        <v>451</v>
      </c>
      <c r="C258" s="19" t="s">
        <v>1212</v>
      </c>
      <c r="D258" s="19">
        <f>D228</f>
        <v>0.96778436069184792</v>
      </c>
      <c r="E258" s="19">
        <f>E228</f>
        <v>0.25041817256815385</v>
      </c>
      <c r="F258" s="19">
        <f>F228</f>
        <v>2.534228684464537E-2</v>
      </c>
      <c r="G258" s="19">
        <f>G228</f>
        <v>6.5574206223334925E-3</v>
      </c>
      <c r="H258" s="19"/>
      <c r="I258" s="19">
        <f>SQRT(K258^2+L258^2+M258^2)</f>
        <v>29.042940287483887</v>
      </c>
      <c r="J258" s="19" t="s">
        <v>1219</v>
      </c>
      <c r="K258" s="19">
        <f>K227</f>
        <v>-11.73079230365607</v>
      </c>
      <c r="L258" s="19">
        <f>L227</f>
        <v>1.5199877443008956</v>
      </c>
      <c r="M258" s="19">
        <f>M227</f>
        <v>26.524903953228808</v>
      </c>
      <c r="N258" s="20" t="s">
        <v>34</v>
      </c>
      <c r="O258" s="1">
        <f>O226</f>
        <v>0.98593323051089954</v>
      </c>
      <c r="P258" s="1"/>
    </row>
    <row r="259" spans="2:18" hidden="1" x14ac:dyDescent="0.2">
      <c r="B259" s="20"/>
      <c r="C259" s="19" t="s">
        <v>1213</v>
      </c>
      <c r="D259" s="19">
        <f>D227</f>
        <v>0.99647710222335251</v>
      </c>
      <c r="E259" s="19">
        <f>E227</f>
        <v>8.3865277347363723E-2</v>
      </c>
      <c r="F259" s="19">
        <f>F227</f>
        <v>0</v>
      </c>
      <c r="G259" s="19">
        <f>G227</f>
        <v>0</v>
      </c>
      <c r="H259" s="19"/>
      <c r="I259" s="19">
        <f>SQRT(K259^2+L259^2+M259^2)</f>
        <v>29.042940287483887</v>
      </c>
      <c r="J259" s="19" t="s">
        <v>208</v>
      </c>
      <c r="K259" s="19">
        <f>O258*K258-O259*M258</f>
        <v>-15.999141303656751</v>
      </c>
      <c r="L259" s="19">
        <f>L258</f>
        <v>1.5199877443008956</v>
      </c>
      <c r="M259" s="1">
        <f>O259*K258+O258*M258</f>
        <v>24.191103640494664</v>
      </c>
      <c r="N259" s="20" t="s">
        <v>35</v>
      </c>
      <c r="O259" s="1">
        <f>O227</f>
        <v>0.16713965709651754</v>
      </c>
      <c r="P259" s="1"/>
    </row>
    <row r="260" spans="2:18" hidden="1" x14ac:dyDescent="0.2">
      <c r="B260" s="20"/>
      <c r="C260" s="19" t="s">
        <v>1218</v>
      </c>
      <c r="D260" s="19">
        <f>D259*D258-E259*E258-F259*F258-G259*G258</f>
        <v>0.94337356582404419</v>
      </c>
      <c r="E260" s="19">
        <f>D259*E258+E259*D258+F259*G258-G259*F258</f>
        <v>0.33069947876664429</v>
      </c>
      <c r="F260" s="19">
        <f>D259*F258-E259*G258+F259*D258+G259*E258</f>
        <v>2.4703068659489884E-2</v>
      </c>
      <c r="G260" s="19">
        <f>D259*G258+E259*F258-F259*E258+G259*D258</f>
        <v>8.6596574146451631E-3</v>
      </c>
      <c r="H260" s="19"/>
      <c r="I260" s="19"/>
      <c r="J260" s="19"/>
      <c r="K260" s="19"/>
      <c r="L260" s="19"/>
    </row>
    <row r="261" spans="2:18" hidden="1" x14ac:dyDescent="0.2">
      <c r="B261" s="20"/>
      <c r="C261" s="19" t="s">
        <v>848</v>
      </c>
      <c r="D261" s="19">
        <f>F260</f>
        <v>2.4703068659489884E-2</v>
      </c>
      <c r="E261" s="19">
        <f>E260</f>
        <v>0.33069947876664429</v>
      </c>
      <c r="F261" s="19">
        <f>G260</f>
        <v>8.6596574146451631E-3</v>
      </c>
      <c r="G261" s="19">
        <f>D260</f>
        <v>0.94337356582404419</v>
      </c>
      <c r="H261" s="19" t="s">
        <v>878</v>
      </c>
      <c r="I261" s="19" t="str">
        <f>CONCATENATE(TEXT(D261,"0.000000")," ",TEXT(E261,"0.000000")," ",TEXT(F261,"0.000000")," ",TEXT(G261,"0.000000"))</f>
        <v>0.024703 0.330699 0.008660 0.943374</v>
      </c>
      <c r="J261" s="19"/>
      <c r="K261" s="19"/>
      <c r="L261" s="19"/>
    </row>
    <row r="262" spans="2:18" hidden="1" x14ac:dyDescent="0.2">
      <c r="B262" s="20" t="s">
        <v>453</v>
      </c>
      <c r="C262" s="19" t="s">
        <v>1212</v>
      </c>
      <c r="D262" s="19">
        <f>D232</f>
        <v>0.96811559520306134</v>
      </c>
      <c r="E262" s="19">
        <f>E232</f>
        <v>0.25050388085740788</v>
      </c>
      <c r="F262" s="19">
        <f>F232</f>
        <v>0</v>
      </c>
      <c r="G262" s="19">
        <f>G232</f>
        <v>0</v>
      </c>
      <c r="H262" s="19"/>
      <c r="J262" s="19"/>
      <c r="K262" s="19"/>
      <c r="L262" s="19"/>
    </row>
    <row r="263" spans="2:18" hidden="1" x14ac:dyDescent="0.2">
      <c r="B263" s="20"/>
      <c r="C263" s="19" t="s">
        <v>1213</v>
      </c>
      <c r="D263" s="19">
        <f>D259</f>
        <v>0.99647710222335251</v>
      </c>
      <c r="E263" s="19">
        <f>E259</f>
        <v>8.3865277347363723E-2</v>
      </c>
      <c r="F263" s="19">
        <f>F259</f>
        <v>0</v>
      </c>
      <c r="G263" s="19">
        <f>G259</f>
        <v>0</v>
      </c>
      <c r="H263" s="19"/>
      <c r="J263" s="19"/>
      <c r="K263" s="19"/>
      <c r="L263" s="19"/>
    </row>
    <row r="264" spans="2:18" hidden="1" x14ac:dyDescent="0.2">
      <c r="B264" s="20"/>
      <c r="C264" s="19" t="s">
        <v>1218</v>
      </c>
      <c r="D264" s="19">
        <f>D263*D262-E263*E262-F263*F262-G263*G262</f>
        <v>0.94369644548048526</v>
      </c>
      <c r="E264" s="19">
        <f>D263*E262+E263*D262+F263*G262-G263*F262</f>
        <v>0.33081266418850663</v>
      </c>
      <c r="F264" s="19">
        <f>D263*F262-E263*G262+F263*D262+G263*E262</f>
        <v>0</v>
      </c>
      <c r="G264" s="19">
        <f>D263*G262+E263*F262-F263*E262+G263*D262</f>
        <v>0</v>
      </c>
      <c r="H264" s="19"/>
      <c r="I264" s="19"/>
      <c r="J264" s="19"/>
      <c r="K264" s="19"/>
      <c r="L264" s="19"/>
    </row>
    <row r="265" spans="2:18" hidden="1" x14ac:dyDescent="0.2">
      <c r="B265" s="20"/>
      <c r="C265" s="19" t="s">
        <v>848</v>
      </c>
      <c r="D265" s="19">
        <f>F264</f>
        <v>0</v>
      </c>
      <c r="E265" s="19">
        <f>E264</f>
        <v>0.33081266418850663</v>
      </c>
      <c r="F265" s="19">
        <f>G264</f>
        <v>0</v>
      </c>
      <c r="G265" s="19">
        <f>D264</f>
        <v>0.94369644548048526</v>
      </c>
      <c r="H265" s="19" t="s">
        <v>878</v>
      </c>
      <c r="I265" s="19" t="str">
        <f>CONCATENATE(TEXT(D265,"0.000000")," ",TEXT(E265,"0.000000")," ",TEXT(F265,"0.000000")," ",TEXT(G265,"0.000000"))</f>
        <v>0.000000 0.330813 0.000000 0.943696</v>
      </c>
      <c r="J265" s="19"/>
      <c r="K265" s="19"/>
      <c r="L265" s="19"/>
    </row>
    <row r="266" spans="2:18" hidden="1" x14ac:dyDescent="0.2">
      <c r="B266" s="20" t="s">
        <v>828</v>
      </c>
      <c r="C266" s="19" t="s">
        <v>1212</v>
      </c>
      <c r="D266" s="19">
        <f>D236</f>
        <v>0.86139881506061688</v>
      </c>
      <c r="E266" s="19">
        <f>E236</f>
        <v>-0.5072542270613527</v>
      </c>
      <c r="F266" s="19">
        <f>F236</f>
        <v>1.3282899210767996E-2</v>
      </c>
      <c r="G266" s="19">
        <f>G236</f>
        <v>2.255648751713854E-2</v>
      </c>
      <c r="H266" s="19"/>
      <c r="I266" s="19"/>
      <c r="J266" s="19"/>
      <c r="K266" s="19"/>
      <c r="L266" s="19"/>
      <c r="M266" s="19"/>
    </row>
    <row r="267" spans="2:18" hidden="1" x14ac:dyDescent="0.2">
      <c r="C267" s="19" t="s">
        <v>1213</v>
      </c>
      <c r="D267" s="19">
        <f>D259</f>
        <v>0.99647710222335251</v>
      </c>
      <c r="E267" s="19">
        <f>E259</f>
        <v>8.3865277347363723E-2</v>
      </c>
      <c r="F267" s="19">
        <f>F259</f>
        <v>0</v>
      </c>
      <c r="G267" s="19">
        <f>G259</f>
        <v>0</v>
      </c>
      <c r="H267" s="19"/>
      <c r="I267" s="19"/>
      <c r="J267" s="19"/>
      <c r="K267" s="19"/>
      <c r="L267" s="19"/>
      <c r="M267" s="19"/>
    </row>
    <row r="268" spans="2:18" hidden="1" x14ac:dyDescent="0.2">
      <c r="C268" s="19" t="s">
        <v>1218</v>
      </c>
      <c r="D268" s="19">
        <f>D267*D266-E267*E266-F267*F266-G267*G266</f>
        <v>0.90090521152835601</v>
      </c>
      <c r="E268" s="19">
        <f>D267*E266+E267*D266+F267*G266-G267*F266</f>
        <v>-0.43322577174089405</v>
      </c>
      <c r="F268" s="19">
        <f>D267*F266-E267*G266+F267*D266+G267*E266</f>
        <v>1.1344398833063776E-2</v>
      </c>
      <c r="G268" s="19">
        <f>D267*G266+E267*F266-F267*E266+G267*D266</f>
        <v>2.3590997343703572E-2</v>
      </c>
      <c r="H268" s="19"/>
      <c r="I268" s="19"/>
      <c r="J268" s="19"/>
      <c r="K268" s="19"/>
      <c r="L268" s="19"/>
    </row>
    <row r="269" spans="2:18" hidden="1" x14ac:dyDescent="0.2">
      <c r="C269" s="19" t="s">
        <v>848</v>
      </c>
      <c r="D269" s="19">
        <f>F268</f>
        <v>1.1344398833063776E-2</v>
      </c>
      <c r="E269" s="19">
        <f>E268</f>
        <v>-0.43322577174089405</v>
      </c>
      <c r="F269" s="19">
        <f>G268</f>
        <v>2.3590997343703572E-2</v>
      </c>
      <c r="G269" s="19">
        <f>D268</f>
        <v>0.90090521152835601</v>
      </c>
      <c r="H269" s="19" t="s">
        <v>878</v>
      </c>
      <c r="I269" s="19" t="str">
        <f>CONCATENATE(TEXT(D269,"0.000000")," ",TEXT(E269,"0.000000")," ",TEXT(F269,"0.000000")," ",TEXT(G269,"0.000000"))</f>
        <v>0.011344 -0.433226 0.023591 0.900905</v>
      </c>
      <c r="J269" s="19"/>
      <c r="K269" s="19"/>
      <c r="L269" s="19"/>
      <c r="N269" s="1" t="s">
        <v>14</v>
      </c>
      <c r="O269" s="1" t="s">
        <v>15</v>
      </c>
      <c r="P269" s="1" t="s">
        <v>16</v>
      </c>
      <c r="Q269" s="1" t="s">
        <v>17</v>
      </c>
      <c r="R269" s="1" t="s">
        <v>18</v>
      </c>
    </row>
    <row r="270" spans="2:18" hidden="1" x14ac:dyDescent="0.2">
      <c r="B270" s="20" t="s">
        <v>829</v>
      </c>
      <c r="C270" s="19" t="s">
        <v>848</v>
      </c>
      <c r="D270" s="1">
        <f>-F269</f>
        <v>-2.3590997343703572E-2</v>
      </c>
      <c r="E270" s="1">
        <f>-G269</f>
        <v>-0.90090521152835601</v>
      </c>
      <c r="F270" s="1">
        <f>D269</f>
        <v>1.1344398833063776E-2</v>
      </c>
      <c r="G270" s="1">
        <f>E269</f>
        <v>-0.43322577174089405</v>
      </c>
      <c r="H270" s="19" t="s">
        <v>878</v>
      </c>
      <c r="I270" s="19" t="str">
        <f>CONCATENATE(TEXT(D270,"0.000000")," ",TEXT(E270,"0.000000")," ",TEXT(F270,"0.000000")," ",TEXT(G270,"0.000000"))</f>
        <v>-0.023591 -0.900905 0.011344 -0.433226</v>
      </c>
      <c r="J270" s="19"/>
      <c r="K270" s="19"/>
      <c r="L270" s="19"/>
      <c r="N270" s="1">
        <f>IF(ABS(N238+K259)&lt;=1024,N238+K259,IF(N238+K259&gt;1024,N238+K259-2048,N238+K259+2048))</f>
        <v>-37.212120286688567</v>
      </c>
      <c r="O270" s="1">
        <f>O238+L259</f>
        <v>7.0252599279262142</v>
      </c>
      <c r="P270" s="1">
        <f>IF(ABS(P238+M259)&lt;=1024,P238+M259,IF(P238+M259&gt;1024,P238+M259-2048,P238+M259+2048))</f>
        <v>874.54788732144596</v>
      </c>
      <c r="Q270" s="1">
        <f>IF(ABS(N238+K259)&lt;=1024,Q238,IF(N238+K259&gt;1024,Q238+1,Q238-1))</f>
        <v>-5769</v>
      </c>
      <c r="R270" s="1">
        <f>IF(ABS(P238+M259)&lt;=1024,R238,IF(P238+M259&gt;1024,R238+1,R238-1))</f>
        <v>14677</v>
      </c>
    </row>
    <row r="271" spans="2:18" hidden="1" x14ac:dyDescent="0.2">
      <c r="B271" s="20" t="s">
        <v>830</v>
      </c>
      <c r="C271" s="19" t="s">
        <v>1212</v>
      </c>
      <c r="D271" s="19">
        <f>D241</f>
        <v>0.86169409520835527</v>
      </c>
      <c r="E271" s="19">
        <f>E241</f>
        <v>-0.50742810947271522</v>
      </c>
      <c r="F271" s="19">
        <f>F241</f>
        <v>0</v>
      </c>
      <c r="G271" s="19">
        <f>G241</f>
        <v>0</v>
      </c>
      <c r="H271" s="19"/>
      <c r="I271" s="19"/>
      <c r="J271" s="19"/>
      <c r="K271" s="19"/>
      <c r="L271" s="19"/>
      <c r="N271" s="1"/>
      <c r="O271" s="1"/>
      <c r="P271" s="1"/>
      <c r="Q271" s="1"/>
      <c r="R271" s="1"/>
    </row>
    <row r="272" spans="2:18" hidden="1" x14ac:dyDescent="0.2">
      <c r="B272" s="20"/>
      <c r="C272" s="19" t="s">
        <v>1213</v>
      </c>
      <c r="D272" s="19">
        <f>D267</f>
        <v>0.99647710222335251</v>
      </c>
      <c r="E272" s="19">
        <f>E267</f>
        <v>8.3865277347363723E-2</v>
      </c>
      <c r="F272" s="19">
        <f>F267</f>
        <v>0</v>
      </c>
      <c r="G272" s="19">
        <f>G267</f>
        <v>0</v>
      </c>
      <c r="H272" s="19"/>
      <c r="I272" s="19"/>
      <c r="J272" s="19"/>
      <c r="K272" s="19"/>
      <c r="L272" s="19"/>
      <c r="N272" s="1"/>
      <c r="O272" s="1"/>
      <c r="P272" s="1"/>
      <c r="Q272" s="1"/>
      <c r="R272" s="1"/>
    </row>
    <row r="273" spans="1:20" hidden="1" x14ac:dyDescent="0.2">
      <c r="B273" s="20"/>
      <c r="C273" s="19" t="s">
        <v>1218</v>
      </c>
      <c r="D273" s="19">
        <f>D272*D271-E272*E271-F272*F271-G272*G271</f>
        <v>0.90121403413097312</v>
      </c>
      <c r="E273" s="19">
        <f>D272*E271+E272*D271+F272*G271-G272*F271</f>
        <v>-0.43337427783081101</v>
      </c>
      <c r="F273" s="19">
        <f>D272*F271-E272*G271+F272*D271+G272*E271</f>
        <v>0</v>
      </c>
      <c r="G273" s="19">
        <f>D272*G271+E272*F271-F272*E271+G272*D271</f>
        <v>0</v>
      </c>
      <c r="H273" s="19"/>
      <c r="I273" s="19"/>
      <c r="J273" s="19"/>
      <c r="K273" s="19"/>
      <c r="L273" s="19"/>
      <c r="N273" s="1"/>
      <c r="O273" s="1"/>
      <c r="P273" s="1"/>
      <c r="Q273" s="1"/>
      <c r="R273" s="1"/>
    </row>
    <row r="274" spans="1:20" hidden="1" x14ac:dyDescent="0.2">
      <c r="B274" s="20"/>
      <c r="C274" s="19" t="s">
        <v>848</v>
      </c>
      <c r="D274" s="19">
        <f>F273</f>
        <v>0</v>
      </c>
      <c r="E274" s="19">
        <f>E273</f>
        <v>-0.43337427783081101</v>
      </c>
      <c r="F274" s="19">
        <f>G273</f>
        <v>0</v>
      </c>
      <c r="G274" s="19">
        <f>D273</f>
        <v>0.90121403413097312</v>
      </c>
      <c r="H274" s="19" t="s">
        <v>878</v>
      </c>
      <c r="I274" s="19" t="str">
        <f>CONCATENATE(TEXT(D274,"0.000000")," ",TEXT(E274,"0.000000")," ",TEXT(F274,"0.000000")," ",TEXT(G274,"0.000000"))</f>
        <v>0.000000 -0.433374 0.000000 0.901214</v>
      </c>
      <c r="J274" s="19"/>
      <c r="K274" s="19"/>
      <c r="L274" s="19"/>
      <c r="N274" s="1"/>
      <c r="O274" s="1"/>
      <c r="P274" s="1"/>
      <c r="Q274" s="1"/>
      <c r="R274" s="1"/>
    </row>
    <row r="275" spans="1:20" hidden="1" x14ac:dyDescent="0.2">
      <c r="B275" s="20" t="s">
        <v>831</v>
      </c>
      <c r="C275" s="19" t="s">
        <v>848</v>
      </c>
      <c r="D275" s="1">
        <f>-F274</f>
        <v>0</v>
      </c>
      <c r="E275" s="1">
        <f>-G274</f>
        <v>-0.90121403413097312</v>
      </c>
      <c r="F275" s="1">
        <f>D274</f>
        <v>0</v>
      </c>
      <c r="G275" s="1">
        <f>E274</f>
        <v>-0.43337427783081101</v>
      </c>
      <c r="H275" s="19" t="s">
        <v>878</v>
      </c>
      <c r="I275" s="19" t="str">
        <f>CONCATENATE(TEXT(D275,"0.000000")," ",TEXT(E275,"0.000000")," ",TEXT(F275,"0.000000")," ",TEXT(G275,"0.000000"))</f>
        <v>0.000000 -0.901214 0.000000 -0.433374</v>
      </c>
      <c r="J275" s="19"/>
      <c r="K275" s="19"/>
      <c r="L275" s="19"/>
      <c r="N275" s="1"/>
      <c r="O275" s="1"/>
      <c r="P275" s="1"/>
      <c r="Q275" s="1"/>
      <c r="R275" s="1"/>
    </row>
    <row r="276" spans="1:20" x14ac:dyDescent="0.2">
      <c r="C276" s="41"/>
      <c r="L276" s="59"/>
      <c r="T276" s="59"/>
    </row>
    <row r="277" spans="1:20" x14ac:dyDescent="0.2">
      <c r="A277" s="25" t="s">
        <v>1226</v>
      </c>
      <c r="H277" s="1"/>
      <c r="I277" s="1"/>
      <c r="J277" s="1"/>
      <c r="K277" s="1"/>
      <c r="L277" s="1"/>
      <c r="N277" s="1"/>
      <c r="O277" s="1"/>
      <c r="P277" s="1"/>
      <c r="Q277" s="1"/>
      <c r="R277" s="1"/>
    </row>
    <row r="278" spans="1:20" x14ac:dyDescent="0.2">
      <c r="C278" s="26" t="str">
        <f>T(IF(ABS(C279-C247)+ABS(E279-E247)&lt;&gt;0,"WARNING:  TILE CHANGE -&gt; other world tile file!",""))</f>
        <v/>
      </c>
      <c r="H278" s="1"/>
      <c r="I278" s="1"/>
      <c r="J278" s="1"/>
      <c r="K278" s="1"/>
      <c r="L278" s="1"/>
      <c r="N278" s="1"/>
      <c r="O278" s="1"/>
      <c r="P278" s="1"/>
      <c r="Q278" s="1"/>
      <c r="R278" s="1"/>
    </row>
    <row r="279" spans="1:20" x14ac:dyDescent="0.2">
      <c r="B279" s="88" t="s">
        <v>28</v>
      </c>
      <c r="C279" s="71">
        <f>Q270</f>
        <v>-5769</v>
      </c>
      <c r="D279" t="s">
        <v>27</v>
      </c>
      <c r="E279" s="71">
        <f>R270</f>
        <v>14677</v>
      </c>
      <c r="F279" t="s">
        <v>32</v>
      </c>
    </row>
    <row r="280" spans="1:20" x14ac:dyDescent="0.2">
      <c r="B280" s="88" t="s">
        <v>26</v>
      </c>
      <c r="C280" s="73" t="str">
        <f>CONCATENATE(TEXT(N270,"0.000")," ",TEXT(O270,"0.000")," ",TEXT(P270,"0.000"))</f>
        <v>-37.212 7.025 874.548</v>
      </c>
    </row>
    <row r="281" spans="1:20" x14ac:dyDescent="0.2">
      <c r="B281" s="88" t="s">
        <v>360</v>
      </c>
      <c r="C281" s="74" t="str">
        <f>I261</f>
        <v>0.024703 0.330699 0.008660 0.943374</v>
      </c>
    </row>
    <row r="282" spans="1:20" x14ac:dyDescent="0.2">
      <c r="B282" s="88" t="s">
        <v>453</v>
      </c>
      <c r="C282" s="74" t="str">
        <f>I265</f>
        <v>0.000000 0.330813 0.000000 0.943696</v>
      </c>
    </row>
    <row r="283" spans="1:20" x14ac:dyDescent="0.2">
      <c r="B283" s="88" t="s">
        <v>828</v>
      </c>
      <c r="C283" s="74" t="str">
        <f>I269</f>
        <v>0.011344 -0.433226 0.023591 0.900905</v>
      </c>
    </row>
    <row r="284" spans="1:20" x14ac:dyDescent="0.2">
      <c r="B284" s="88" t="s">
        <v>829</v>
      </c>
      <c r="C284" s="74" t="str">
        <f>I270</f>
        <v>-0.023591 -0.900905 0.011344 -0.433226</v>
      </c>
    </row>
    <row r="285" spans="1:20" x14ac:dyDescent="0.2">
      <c r="B285" s="88" t="s">
        <v>830</v>
      </c>
      <c r="C285" s="74" t="str">
        <f>I274</f>
        <v>0.000000 -0.433374 0.000000 0.901214</v>
      </c>
    </row>
    <row r="286" spans="1:20" x14ac:dyDescent="0.2">
      <c r="B286" s="88" t="s">
        <v>831</v>
      </c>
      <c r="C286" s="74" t="str">
        <f>I275</f>
        <v>0.000000 -0.901214 0.000000 -0.433374</v>
      </c>
    </row>
    <row r="287" spans="1:20" x14ac:dyDescent="0.2">
      <c r="C287" s="12" t="s">
        <v>456</v>
      </c>
      <c r="L287" s="59"/>
      <c r="T287" s="59"/>
    </row>
    <row r="288" spans="1:20" hidden="1" x14ac:dyDescent="0.2">
      <c r="C288" s="12"/>
    </row>
    <row r="289" spans="2:18" hidden="1" x14ac:dyDescent="0.2">
      <c r="D289" s="1" t="s">
        <v>1214</v>
      </c>
      <c r="E289" s="1" t="s">
        <v>1215</v>
      </c>
      <c r="F289" s="1" t="s">
        <v>1216</v>
      </c>
      <c r="G289" s="1" t="s">
        <v>1217</v>
      </c>
      <c r="I289" s="53" t="s">
        <v>1221</v>
      </c>
      <c r="K289" s="1" t="s">
        <v>40</v>
      </c>
      <c r="L289" s="1" t="s">
        <v>41</v>
      </c>
      <c r="M289" s="1" t="s">
        <v>42</v>
      </c>
      <c r="N289" s="1"/>
      <c r="O289" s="1" t="s">
        <v>207</v>
      </c>
      <c r="P289" s="53"/>
    </row>
    <row r="290" spans="2:18" hidden="1" x14ac:dyDescent="0.2">
      <c r="B290" s="20" t="s">
        <v>451</v>
      </c>
      <c r="C290" s="19" t="s">
        <v>1212</v>
      </c>
      <c r="D290" s="19">
        <f>D260</f>
        <v>0.94337356582404419</v>
      </c>
      <c r="E290" s="19">
        <f>E260</f>
        <v>0.33069947876664429</v>
      </c>
      <c r="F290" s="19">
        <f>F260</f>
        <v>2.4703068659489884E-2</v>
      </c>
      <c r="G290" s="19">
        <f>G260</f>
        <v>8.6596574146451631E-3</v>
      </c>
      <c r="H290" s="19"/>
      <c r="I290" s="19">
        <f>SQRT(K290^2+L290^2+M290^2)</f>
        <v>29.042940287483887</v>
      </c>
      <c r="J290" s="19" t="s">
        <v>1219</v>
      </c>
      <c r="K290" s="19">
        <f>K259</f>
        <v>-15.999141303656751</v>
      </c>
      <c r="L290" s="19">
        <f>L259</f>
        <v>1.5199877443008956</v>
      </c>
      <c r="M290" s="19">
        <f>M259</f>
        <v>24.191103640494664</v>
      </c>
      <c r="N290" s="20" t="s">
        <v>34</v>
      </c>
      <c r="O290" s="1">
        <f>O258</f>
        <v>0.98593323051089954</v>
      </c>
      <c r="P290" s="1"/>
    </row>
    <row r="291" spans="2:18" hidden="1" x14ac:dyDescent="0.2">
      <c r="B291" s="20"/>
      <c r="C291" s="19" t="s">
        <v>1213</v>
      </c>
      <c r="D291" s="19">
        <f>D259</f>
        <v>0.99647710222335251</v>
      </c>
      <c r="E291" s="19">
        <f>E259</f>
        <v>8.3865277347363723E-2</v>
      </c>
      <c r="F291" s="19">
        <f>F259</f>
        <v>0</v>
      </c>
      <c r="G291" s="19">
        <f>G259</f>
        <v>0</v>
      </c>
      <c r="H291" s="19"/>
      <c r="I291" s="19">
        <f>SQRT(K291^2+L291^2+M291^2)</f>
        <v>29.042940287483887</v>
      </c>
      <c r="J291" s="19" t="s">
        <v>208</v>
      </c>
      <c r="K291" s="19">
        <f>O290*K290-O291*M290</f>
        <v>-19.817377838173261</v>
      </c>
      <c r="L291" s="19">
        <f>L290</f>
        <v>1.5199877443008956</v>
      </c>
      <c r="M291" s="1">
        <f>O291*K290+O290*M290</f>
        <v>21.176721970564966</v>
      </c>
      <c r="N291" s="20" t="s">
        <v>35</v>
      </c>
      <c r="O291" s="1">
        <f>O259</f>
        <v>0.16713965709651754</v>
      </c>
      <c r="P291" s="1"/>
    </row>
    <row r="292" spans="2:18" hidden="1" x14ac:dyDescent="0.2">
      <c r="B292" s="20"/>
      <c r="C292" s="19" t="s">
        <v>1218</v>
      </c>
      <c r="D292" s="19">
        <f>D291*D290-E291*E290-F291*F290-G291*G290</f>
        <v>0.91231595368106144</v>
      </c>
      <c r="E292" s="19">
        <f>D291*E290+E291*D290+F291*G290-G291*F290</f>
        <v>0.40865074404816376</v>
      </c>
      <c r="F292" s="19">
        <f>D291*F290-E291*G290+F291*D290+G291*E290</f>
        <v>2.3889797703020625E-2</v>
      </c>
      <c r="G292" s="19">
        <f>D291*G290+E291*F290-F291*E290+G291*D290</f>
        <v>1.0700880031251669E-2</v>
      </c>
      <c r="H292" s="19"/>
      <c r="I292" s="19"/>
      <c r="J292" s="19"/>
      <c r="K292" s="19"/>
      <c r="L292" s="19"/>
    </row>
    <row r="293" spans="2:18" hidden="1" x14ac:dyDescent="0.2">
      <c r="B293" s="20"/>
      <c r="C293" s="19" t="s">
        <v>848</v>
      </c>
      <c r="D293" s="19">
        <f>F292</f>
        <v>2.3889797703020625E-2</v>
      </c>
      <c r="E293" s="19">
        <f>E292</f>
        <v>0.40865074404816376</v>
      </c>
      <c r="F293" s="19">
        <f>G292</f>
        <v>1.0700880031251669E-2</v>
      </c>
      <c r="G293" s="19">
        <f>D292</f>
        <v>0.91231595368106144</v>
      </c>
      <c r="H293" s="19" t="s">
        <v>878</v>
      </c>
      <c r="I293" s="19" t="str">
        <f>CONCATENATE(TEXT(D293,"0.000000")," ",TEXT(E293,"0.000000")," ",TEXT(F293,"0.000000")," ",TEXT(G293,"0.000000"))</f>
        <v>0.023890 0.408651 0.010701 0.912316</v>
      </c>
      <c r="J293" s="19"/>
      <c r="K293" s="19"/>
      <c r="L293" s="19"/>
    </row>
    <row r="294" spans="2:18" hidden="1" x14ac:dyDescent="0.2">
      <c r="B294" s="20" t="s">
        <v>453</v>
      </c>
      <c r="C294" s="19" t="s">
        <v>1212</v>
      </c>
      <c r="D294" s="19">
        <f>D264</f>
        <v>0.94369644548048526</v>
      </c>
      <c r="E294" s="19">
        <f>E264</f>
        <v>0.33081266418850663</v>
      </c>
      <c r="F294" s="19">
        <f>F264</f>
        <v>0</v>
      </c>
      <c r="G294" s="19">
        <f>G264</f>
        <v>0</v>
      </c>
      <c r="H294" s="19"/>
      <c r="J294" s="19"/>
      <c r="K294" s="19"/>
      <c r="L294" s="19"/>
    </row>
    <row r="295" spans="2:18" hidden="1" x14ac:dyDescent="0.2">
      <c r="B295" s="20"/>
      <c r="C295" s="19" t="s">
        <v>1213</v>
      </c>
      <c r="D295" s="19">
        <f>D291</f>
        <v>0.99647710222335251</v>
      </c>
      <c r="E295" s="19">
        <f>E291</f>
        <v>8.3865277347363723E-2</v>
      </c>
      <c r="F295" s="19">
        <f>F291</f>
        <v>0</v>
      </c>
      <c r="G295" s="19">
        <f>G291</f>
        <v>0</v>
      </c>
      <c r="H295" s="19"/>
      <c r="J295" s="19"/>
      <c r="K295" s="19"/>
      <c r="L295" s="19"/>
    </row>
    <row r="296" spans="2:18" hidden="1" x14ac:dyDescent="0.2">
      <c r="B296" s="20"/>
      <c r="C296" s="19" t="s">
        <v>1218</v>
      </c>
      <c r="D296" s="19">
        <f>D295*D294-E295*E294-F295*F294-G295*G294</f>
        <v>0.91262820353868257</v>
      </c>
      <c r="E296" s="19">
        <f>D295*E294+E295*D294+F295*G294-G295*F294</f>
        <v>0.40879060912129228</v>
      </c>
      <c r="F296" s="19">
        <f>D295*F294-E295*G294+F295*D294+G295*E294</f>
        <v>0</v>
      </c>
      <c r="G296" s="19">
        <f>D295*G294+E295*F294-F295*E294+G295*D294</f>
        <v>0</v>
      </c>
      <c r="H296" s="19"/>
      <c r="I296" s="19"/>
      <c r="J296" s="19"/>
      <c r="K296" s="19"/>
      <c r="L296" s="19"/>
    </row>
    <row r="297" spans="2:18" hidden="1" x14ac:dyDescent="0.2">
      <c r="B297" s="20"/>
      <c r="C297" s="19" t="s">
        <v>848</v>
      </c>
      <c r="D297" s="19">
        <f>F296</f>
        <v>0</v>
      </c>
      <c r="E297" s="19">
        <f>E296</f>
        <v>0.40879060912129228</v>
      </c>
      <c r="F297" s="19">
        <f>G296</f>
        <v>0</v>
      </c>
      <c r="G297" s="19">
        <f>D296</f>
        <v>0.91262820353868257</v>
      </c>
      <c r="H297" s="19" t="s">
        <v>878</v>
      </c>
      <c r="I297" s="19" t="str">
        <f>CONCATENATE(TEXT(D297,"0.000000")," ",TEXT(E297,"0.000000")," ",TEXT(F297,"0.000000")," ",TEXT(G297,"0.000000"))</f>
        <v>0.000000 0.408791 0.000000 0.912628</v>
      </c>
      <c r="J297" s="19"/>
      <c r="K297" s="19"/>
      <c r="L297" s="19"/>
    </row>
    <row r="298" spans="2:18" hidden="1" x14ac:dyDescent="0.2">
      <c r="B298" s="20" t="s">
        <v>828</v>
      </c>
      <c r="C298" s="19" t="s">
        <v>1212</v>
      </c>
      <c r="D298" s="19">
        <f>D268</f>
        <v>0.90090521152835601</v>
      </c>
      <c r="E298" s="19">
        <f>E268</f>
        <v>-0.43322577174089405</v>
      </c>
      <c r="F298" s="19">
        <f>F268</f>
        <v>1.1344398833063776E-2</v>
      </c>
      <c r="G298" s="19">
        <f>G268</f>
        <v>2.3590997343703572E-2</v>
      </c>
      <c r="H298" s="19"/>
      <c r="I298" s="19"/>
      <c r="J298" s="19"/>
      <c r="K298" s="19"/>
      <c r="L298" s="19"/>
      <c r="M298" s="19"/>
    </row>
    <row r="299" spans="2:18" hidden="1" x14ac:dyDescent="0.2">
      <c r="C299" s="19" t="s">
        <v>1213</v>
      </c>
      <c r="D299" s="19">
        <f>D291</f>
        <v>0.99647710222335251</v>
      </c>
      <c r="E299" s="19">
        <f>E291</f>
        <v>8.3865277347363723E-2</v>
      </c>
      <c r="F299" s="19">
        <f>F291</f>
        <v>0</v>
      </c>
      <c r="G299" s="19">
        <f>G291</f>
        <v>0</v>
      </c>
      <c r="H299" s="19"/>
      <c r="I299" s="19"/>
      <c r="J299" s="19"/>
      <c r="K299" s="19"/>
      <c r="L299" s="19"/>
      <c r="M299" s="19"/>
    </row>
    <row r="300" spans="2:18" hidden="1" x14ac:dyDescent="0.2">
      <c r="C300" s="19" t="s">
        <v>1218</v>
      </c>
      <c r="D300" s="19">
        <f>D299*D298-E299*E298-F299*F298-G299*G298</f>
        <v>0.9340640140627684</v>
      </c>
      <c r="E300" s="19">
        <f>D299*E298+E299*D298+F299*G298-G299*F298</f>
        <v>-0.35614489620433071</v>
      </c>
      <c r="F300" s="19">
        <f>D299*F298-E299*G298+F299*D298+G299*E298</f>
        <v>9.3259681405067525E-3</v>
      </c>
      <c r="G300" s="19">
        <f>D299*G298+E299*F298-F299*E298+G299*D298</f>
        <v>2.4459289826086545E-2</v>
      </c>
      <c r="H300" s="19"/>
      <c r="I300" s="19"/>
      <c r="J300" s="19"/>
      <c r="K300" s="19"/>
      <c r="L300" s="19"/>
    </row>
    <row r="301" spans="2:18" hidden="1" x14ac:dyDescent="0.2">
      <c r="C301" s="19" t="s">
        <v>848</v>
      </c>
      <c r="D301" s="19">
        <f>F300</f>
        <v>9.3259681405067525E-3</v>
      </c>
      <c r="E301" s="19">
        <f>E300</f>
        <v>-0.35614489620433071</v>
      </c>
      <c r="F301" s="19">
        <f>G300</f>
        <v>2.4459289826086545E-2</v>
      </c>
      <c r="G301" s="19">
        <f>D300</f>
        <v>0.9340640140627684</v>
      </c>
      <c r="H301" s="19" t="s">
        <v>878</v>
      </c>
      <c r="I301" s="19" t="str">
        <f>CONCATENATE(TEXT(D301,"0.000000")," ",TEXT(E301,"0.000000")," ",TEXT(F301,"0.000000")," ",TEXT(G301,"0.000000"))</f>
        <v>0.009326 -0.356145 0.024459 0.934064</v>
      </c>
      <c r="J301" s="19"/>
      <c r="K301" s="19"/>
      <c r="L301" s="19"/>
      <c r="N301" s="1" t="s">
        <v>14</v>
      </c>
      <c r="O301" s="1" t="s">
        <v>15</v>
      </c>
      <c r="P301" s="1" t="s">
        <v>16</v>
      </c>
      <c r="Q301" s="1" t="s">
        <v>17</v>
      </c>
      <c r="R301" s="1" t="s">
        <v>18</v>
      </c>
    </row>
    <row r="302" spans="2:18" hidden="1" x14ac:dyDescent="0.2">
      <c r="B302" s="20" t="s">
        <v>829</v>
      </c>
      <c r="C302" s="19" t="s">
        <v>848</v>
      </c>
      <c r="D302" s="1">
        <f>-F301</f>
        <v>-2.4459289826086545E-2</v>
      </c>
      <c r="E302" s="1">
        <f>-G301</f>
        <v>-0.9340640140627684</v>
      </c>
      <c r="F302" s="1">
        <f>D301</f>
        <v>9.3259681405067525E-3</v>
      </c>
      <c r="G302" s="1">
        <f>E301</f>
        <v>-0.35614489620433071</v>
      </c>
      <c r="H302" s="19" t="s">
        <v>878</v>
      </c>
      <c r="I302" s="19" t="str">
        <f>CONCATENATE(TEXT(D302,"0.000000")," ",TEXT(E302,"0.000000")," ",TEXT(F302,"0.000000")," ",TEXT(G302,"0.000000"))</f>
        <v>-0.024459 -0.934064 0.009326 -0.356145</v>
      </c>
      <c r="J302" s="19"/>
      <c r="K302" s="19"/>
      <c r="L302" s="19"/>
      <c r="N302" s="1">
        <f>IF(ABS(N270+K291)&lt;=1024,N270+K291,IF(N270+K291&gt;1024,N270+K291-2048,N270+K291+2048))</f>
        <v>-57.029498124861831</v>
      </c>
      <c r="O302" s="1">
        <f>O270+L291</f>
        <v>8.5452476722271093</v>
      </c>
      <c r="P302" s="1">
        <f>IF(ABS(P270+M291)&lt;=1024,P270+M291,IF(P270+M291&gt;1024,P270+M291-2048,P270+M291+2048))</f>
        <v>895.72460929201088</v>
      </c>
      <c r="Q302" s="1">
        <f>IF(ABS(N270+K291)&lt;=1024,Q270,IF(N270+K291&gt;1024,Q270+1,Q270-1))</f>
        <v>-5769</v>
      </c>
      <c r="R302" s="1">
        <f>IF(ABS(P270+M291)&lt;=1024,R270,IF(P270+M291&gt;1024,R270+1,R270-1))</f>
        <v>14677</v>
      </c>
    </row>
    <row r="303" spans="2:18" hidden="1" x14ac:dyDescent="0.2">
      <c r="B303" s="20" t="s">
        <v>830</v>
      </c>
      <c r="C303" s="19" t="s">
        <v>1212</v>
      </c>
      <c r="D303" s="19">
        <f>D273</f>
        <v>0.90121403413097312</v>
      </c>
      <c r="E303" s="19">
        <f>E273</f>
        <v>-0.43337427783081101</v>
      </c>
      <c r="F303" s="19">
        <f>F273</f>
        <v>0</v>
      </c>
      <c r="G303" s="19">
        <f>G273</f>
        <v>0</v>
      </c>
      <c r="H303" s="19"/>
      <c r="I303" s="19"/>
      <c r="J303" s="19"/>
      <c r="K303" s="19"/>
      <c r="L303" s="19"/>
      <c r="N303" s="1"/>
      <c r="O303" s="1"/>
      <c r="P303" s="1"/>
      <c r="Q303" s="1"/>
      <c r="R303" s="1"/>
    </row>
    <row r="304" spans="2:18" hidden="1" x14ac:dyDescent="0.2">
      <c r="B304" s="20"/>
      <c r="C304" s="19" t="s">
        <v>1213</v>
      </c>
      <c r="D304" s="19">
        <f>D299</f>
        <v>0.99647710222335251</v>
      </c>
      <c r="E304" s="19">
        <f>E299</f>
        <v>8.3865277347363723E-2</v>
      </c>
      <c r="F304" s="19">
        <f>F299</f>
        <v>0</v>
      </c>
      <c r="G304" s="19">
        <f>G299</f>
        <v>0</v>
      </c>
      <c r="H304" s="19"/>
      <c r="I304" s="19"/>
      <c r="J304" s="19"/>
      <c r="K304" s="19"/>
      <c r="L304" s="19"/>
      <c r="N304" s="1"/>
      <c r="O304" s="1"/>
      <c r="P304" s="1"/>
      <c r="Q304" s="1"/>
      <c r="R304" s="1"/>
    </row>
    <row r="305" spans="1:20" hidden="1" x14ac:dyDescent="0.2">
      <c r="B305" s="20"/>
      <c r="C305" s="19" t="s">
        <v>1218</v>
      </c>
      <c r="D305" s="19">
        <f>D304*D303-E304*E303-F304*F303-G304*G303</f>
        <v>0.93438420321934412</v>
      </c>
      <c r="E305" s="19">
        <f>D304*E303+E304*D303+F304*G303-G304*F303</f>
        <v>-0.35626697962925402</v>
      </c>
      <c r="F305" s="19">
        <f>D304*F303-E304*G303+F304*D303+G304*E303</f>
        <v>0</v>
      </c>
      <c r="G305" s="19">
        <f>D304*G303+E304*F303-F304*E303+G304*D303</f>
        <v>0</v>
      </c>
      <c r="H305" s="19"/>
      <c r="I305" s="19"/>
      <c r="J305" s="19"/>
      <c r="K305" s="19"/>
      <c r="L305" s="19"/>
      <c r="N305" s="1"/>
      <c r="O305" s="1"/>
      <c r="P305" s="1"/>
      <c r="Q305" s="1"/>
      <c r="R305" s="1"/>
    </row>
    <row r="306" spans="1:20" hidden="1" x14ac:dyDescent="0.2">
      <c r="B306" s="20"/>
      <c r="C306" s="19" t="s">
        <v>848</v>
      </c>
      <c r="D306" s="19">
        <f>F305</f>
        <v>0</v>
      </c>
      <c r="E306" s="19">
        <f>E305</f>
        <v>-0.35626697962925402</v>
      </c>
      <c r="F306" s="19">
        <f>G305</f>
        <v>0</v>
      </c>
      <c r="G306" s="19">
        <f>D305</f>
        <v>0.93438420321934412</v>
      </c>
      <c r="H306" s="19" t="s">
        <v>878</v>
      </c>
      <c r="I306" s="19" t="str">
        <f>CONCATENATE(TEXT(D306,"0.000000")," ",TEXT(E306,"0.000000")," ",TEXT(F306,"0.000000")," ",TEXT(G306,"0.000000"))</f>
        <v>0.000000 -0.356267 0.000000 0.934384</v>
      </c>
      <c r="J306" s="19"/>
      <c r="K306" s="19"/>
      <c r="L306" s="19"/>
      <c r="N306" s="1"/>
      <c r="O306" s="1"/>
      <c r="P306" s="1"/>
      <c r="Q306" s="1"/>
      <c r="R306" s="1"/>
    </row>
    <row r="307" spans="1:20" hidden="1" x14ac:dyDescent="0.2">
      <c r="B307" s="20" t="s">
        <v>831</v>
      </c>
      <c r="C307" s="19" t="s">
        <v>848</v>
      </c>
      <c r="D307" s="1">
        <f>-F306</f>
        <v>0</v>
      </c>
      <c r="E307" s="1">
        <f>-G306</f>
        <v>-0.93438420321934412</v>
      </c>
      <c r="F307" s="1">
        <f>D306</f>
        <v>0</v>
      </c>
      <c r="G307" s="1">
        <f>E306</f>
        <v>-0.35626697962925402</v>
      </c>
      <c r="H307" s="19" t="s">
        <v>878</v>
      </c>
      <c r="I307" s="19" t="str">
        <f>CONCATENATE(TEXT(D307,"0.000000")," ",TEXT(E307,"0.000000")," ",TEXT(F307,"0.000000")," ",TEXT(G307,"0.000000"))</f>
        <v>0.000000 -0.934384 0.000000 -0.356267</v>
      </c>
      <c r="J307" s="19"/>
      <c r="K307" s="19"/>
      <c r="L307" s="19"/>
      <c r="N307" s="1"/>
      <c r="O307" s="1"/>
      <c r="P307" s="1"/>
      <c r="Q307" s="1"/>
      <c r="R307" s="1"/>
    </row>
    <row r="308" spans="1:20" x14ac:dyDescent="0.2">
      <c r="C308" s="41"/>
      <c r="L308" s="59"/>
      <c r="T308" s="59"/>
    </row>
    <row r="309" spans="1:20" x14ac:dyDescent="0.2">
      <c r="A309" s="25" t="s">
        <v>1227</v>
      </c>
      <c r="H309" s="1"/>
      <c r="I309" s="1"/>
      <c r="J309" s="1"/>
      <c r="K309" s="1"/>
      <c r="L309" s="1"/>
      <c r="N309" s="1"/>
      <c r="O309" s="1"/>
      <c r="P309" s="1"/>
      <c r="Q309" s="1"/>
      <c r="R309" s="1"/>
    </row>
    <row r="310" spans="1:20" x14ac:dyDescent="0.2">
      <c r="C310" s="26" t="str">
        <f>T(IF(ABS(C311-C279)+ABS(E311-E279)&lt;&gt;0,"WARNING:  TILE CHANGE -&gt; other world tile file!",""))</f>
        <v/>
      </c>
      <c r="H310" s="1"/>
      <c r="I310" s="1"/>
      <c r="J310" s="1"/>
      <c r="K310" s="1"/>
      <c r="L310" s="1"/>
      <c r="N310" s="1"/>
      <c r="O310" s="1"/>
      <c r="P310" s="1"/>
      <c r="Q310" s="1"/>
      <c r="R310" s="1"/>
    </row>
    <row r="311" spans="1:20" x14ac:dyDescent="0.2">
      <c r="B311" s="88" t="s">
        <v>28</v>
      </c>
      <c r="C311" s="71">
        <f>Q302</f>
        <v>-5769</v>
      </c>
      <c r="D311" t="s">
        <v>27</v>
      </c>
      <c r="E311" s="71">
        <f>R302</f>
        <v>14677</v>
      </c>
      <c r="F311" t="s">
        <v>32</v>
      </c>
    </row>
    <row r="312" spans="1:20" x14ac:dyDescent="0.2">
      <c r="B312" s="88" t="s">
        <v>26</v>
      </c>
      <c r="C312" s="73" t="str">
        <f>CONCATENATE(TEXT(N302,"0.000")," ",TEXT(O302,"0.000")," ",TEXT(P302,"0.000"))</f>
        <v>-57.029 8.545 895.725</v>
      </c>
    </row>
    <row r="313" spans="1:20" x14ac:dyDescent="0.2">
      <c r="B313" s="88" t="s">
        <v>360</v>
      </c>
      <c r="C313" s="74" t="str">
        <f>I293</f>
        <v>0.023890 0.408651 0.010701 0.912316</v>
      </c>
    </row>
    <row r="314" spans="1:20" x14ac:dyDescent="0.2">
      <c r="B314" s="88" t="s">
        <v>453</v>
      </c>
      <c r="C314" s="74" t="str">
        <f>I297</f>
        <v>0.000000 0.408791 0.000000 0.912628</v>
      </c>
    </row>
    <row r="315" spans="1:20" x14ac:dyDescent="0.2">
      <c r="B315" s="88" t="s">
        <v>828</v>
      </c>
      <c r="C315" s="74" t="str">
        <f>I301</f>
        <v>0.009326 -0.356145 0.024459 0.934064</v>
      </c>
    </row>
    <row r="316" spans="1:20" x14ac:dyDescent="0.2">
      <c r="B316" s="88" t="s">
        <v>829</v>
      </c>
      <c r="C316" s="74" t="str">
        <f>I302</f>
        <v>-0.024459 -0.934064 0.009326 -0.356145</v>
      </c>
    </row>
    <row r="317" spans="1:20" x14ac:dyDescent="0.2">
      <c r="B317" s="88" t="s">
        <v>830</v>
      </c>
      <c r="C317" s="74" t="str">
        <f>I306</f>
        <v>0.000000 -0.356267 0.000000 0.934384</v>
      </c>
    </row>
    <row r="318" spans="1:20" x14ac:dyDescent="0.2">
      <c r="B318" s="88" t="s">
        <v>831</v>
      </c>
      <c r="C318" s="74" t="str">
        <f>I307</f>
        <v>0.000000 -0.934384 0.000000 -0.356267</v>
      </c>
    </row>
    <row r="319" spans="1:20" x14ac:dyDescent="0.2">
      <c r="C319" s="12" t="s">
        <v>456</v>
      </c>
      <c r="L319" s="59"/>
      <c r="T319" s="59"/>
    </row>
    <row r="320" spans="1:20" hidden="1" x14ac:dyDescent="0.2">
      <c r="C320" s="12"/>
    </row>
    <row r="321" spans="2:18" hidden="1" x14ac:dyDescent="0.2">
      <c r="D321" s="1" t="s">
        <v>1214</v>
      </c>
      <c r="E321" s="1" t="s">
        <v>1215</v>
      </c>
      <c r="F321" s="1" t="s">
        <v>1216</v>
      </c>
      <c r="G321" s="1" t="s">
        <v>1217</v>
      </c>
      <c r="I321" s="53" t="s">
        <v>1221</v>
      </c>
      <c r="K321" s="1" t="s">
        <v>40</v>
      </c>
      <c r="L321" s="1" t="s">
        <v>41</v>
      </c>
      <c r="M321" s="1" t="s">
        <v>42</v>
      </c>
      <c r="N321" s="1"/>
      <c r="O321" s="1" t="s">
        <v>207</v>
      </c>
      <c r="P321" s="53"/>
    </row>
    <row r="322" spans="2:18" hidden="1" x14ac:dyDescent="0.2">
      <c r="B322" s="20" t="s">
        <v>451</v>
      </c>
      <c r="C322" s="19" t="s">
        <v>1212</v>
      </c>
      <c r="D322" s="19">
        <f>D292</f>
        <v>0.91231595368106144</v>
      </c>
      <c r="E322" s="19">
        <f>E292</f>
        <v>0.40865074404816376</v>
      </c>
      <c r="F322" s="19">
        <f>F292</f>
        <v>2.3889797703020625E-2</v>
      </c>
      <c r="G322" s="19">
        <f>G292</f>
        <v>1.0700880031251669E-2</v>
      </c>
      <c r="H322" s="19"/>
      <c r="I322" s="19">
        <f>SQRT(K322^2+L322^2+M322^2)</f>
        <v>29.042940287483887</v>
      </c>
      <c r="J322" s="19" t="s">
        <v>1219</v>
      </c>
      <c r="K322" s="19">
        <f>K291</f>
        <v>-19.817377838173261</v>
      </c>
      <c r="L322" s="19">
        <f>L291</f>
        <v>1.5199877443008956</v>
      </c>
      <c r="M322" s="19">
        <f>M291</f>
        <v>21.176721970564966</v>
      </c>
      <c r="N322" s="20" t="s">
        <v>34</v>
      </c>
      <c r="O322" s="1">
        <f>O290</f>
        <v>0.98593323051089954</v>
      </c>
      <c r="P322" s="1"/>
    </row>
    <row r="323" spans="2:18" hidden="1" x14ac:dyDescent="0.2">
      <c r="B323" s="20"/>
      <c r="C323" s="19" t="s">
        <v>1213</v>
      </c>
      <c r="D323" s="19">
        <f>D291</f>
        <v>0.99647710222335251</v>
      </c>
      <c r="E323" s="19">
        <f>E291</f>
        <v>8.3865277347363723E-2</v>
      </c>
      <c r="F323" s="19">
        <f>F291</f>
        <v>0</v>
      </c>
      <c r="G323" s="19">
        <f>G291</f>
        <v>0</v>
      </c>
      <c r="H323" s="19"/>
      <c r="I323" s="19">
        <f>SQRT(K323^2+L323^2+M323^2)</f>
        <v>29.042940287483887</v>
      </c>
      <c r="J323" s="19" t="s">
        <v>208</v>
      </c>
      <c r="K323" s="19">
        <f>O322*K322-O323*M322</f>
        <v>-23.078081400833788</v>
      </c>
      <c r="L323" s="19">
        <f>L322</f>
        <v>1.5199877443008956</v>
      </c>
      <c r="M323" s="1">
        <f>O323*K322+O322*M322</f>
        <v>17.566564167645854</v>
      </c>
      <c r="N323" s="20" t="s">
        <v>35</v>
      </c>
      <c r="O323" s="1">
        <f>O291</f>
        <v>0.16713965709651754</v>
      </c>
      <c r="P323" s="1"/>
    </row>
    <row r="324" spans="2:18" hidden="1" x14ac:dyDescent="0.2">
      <c r="B324" s="20"/>
      <c r="C324" s="19" t="s">
        <v>1218</v>
      </c>
      <c r="D324" s="19">
        <f>D323*D322-E323*E322-F323*F322-G323*G322</f>
        <v>0.87483034984843255</v>
      </c>
      <c r="E324" s="19">
        <f>D323*E322+E323*D322+F323*G322-G323*F322</f>
        <v>0.48372273973441804</v>
      </c>
      <c r="F324" s="19">
        <f>D323*F322-E323*G322+F323*D322+G323*E322</f>
        <v>2.2908204116126308E-2</v>
      </c>
      <c r="G324" s="19">
        <f>D323*G322+E323*F322-F323*E322+G323*D322</f>
        <v>1.266670643491764E-2</v>
      </c>
      <c r="H324" s="19"/>
      <c r="I324" s="19"/>
      <c r="J324" s="19"/>
      <c r="K324" s="19"/>
      <c r="L324" s="19"/>
    </row>
    <row r="325" spans="2:18" hidden="1" x14ac:dyDescent="0.2">
      <c r="B325" s="20"/>
      <c r="C325" s="19" t="s">
        <v>848</v>
      </c>
      <c r="D325" s="19">
        <f>F324</f>
        <v>2.2908204116126308E-2</v>
      </c>
      <c r="E325" s="19">
        <f>E324</f>
        <v>0.48372273973441804</v>
      </c>
      <c r="F325" s="19">
        <f>G324</f>
        <v>1.266670643491764E-2</v>
      </c>
      <c r="G325" s="19">
        <f>D324</f>
        <v>0.87483034984843255</v>
      </c>
      <c r="H325" s="19" t="s">
        <v>878</v>
      </c>
      <c r="I325" s="19" t="str">
        <f>CONCATENATE(TEXT(D325,"0.000000")," ",TEXT(E325,"0.000000")," ",TEXT(F325,"0.000000")," ",TEXT(G325,"0.000000"))</f>
        <v>0.022908 0.483723 0.012667 0.874830</v>
      </c>
      <c r="J325" s="19"/>
      <c r="K325" s="19"/>
      <c r="L325" s="19"/>
    </row>
    <row r="326" spans="2:18" hidden="1" x14ac:dyDescent="0.2">
      <c r="B326" s="20" t="s">
        <v>453</v>
      </c>
      <c r="C326" s="19" t="s">
        <v>1212</v>
      </c>
      <c r="D326" s="19">
        <f>D296</f>
        <v>0.91262820353868257</v>
      </c>
      <c r="E326" s="19">
        <f>E296</f>
        <v>0.40879060912129228</v>
      </c>
      <c r="F326" s="19">
        <f>F296</f>
        <v>0</v>
      </c>
      <c r="G326" s="19">
        <f>G296</f>
        <v>0</v>
      </c>
      <c r="H326" s="19"/>
      <c r="J326" s="19"/>
      <c r="K326" s="19"/>
      <c r="L326" s="19"/>
    </row>
    <row r="327" spans="2:18" hidden="1" x14ac:dyDescent="0.2">
      <c r="B327" s="20"/>
      <c r="C327" s="19" t="s">
        <v>1213</v>
      </c>
      <c r="D327" s="19">
        <f>D323</f>
        <v>0.99647710222335251</v>
      </c>
      <c r="E327" s="19">
        <f>E323</f>
        <v>8.3865277347363723E-2</v>
      </c>
      <c r="F327" s="19">
        <f>F323</f>
        <v>0</v>
      </c>
      <c r="G327" s="19">
        <f>G323</f>
        <v>0</v>
      </c>
      <c r="H327" s="19"/>
      <c r="J327" s="19"/>
      <c r="K327" s="19"/>
      <c r="L327" s="19"/>
    </row>
    <row r="328" spans="2:18" hidden="1" x14ac:dyDescent="0.2">
      <c r="B328" s="20"/>
      <c r="C328" s="19" t="s">
        <v>1218</v>
      </c>
      <c r="D328" s="19">
        <f>D327*D326-E327*E326-F327*F326-G327*G326</f>
        <v>0.87512976985857538</v>
      </c>
      <c r="E328" s="19">
        <f>D327*E326+E327*D326+F327*G326-G327*F326</f>
        <v>0.48388829899810243</v>
      </c>
      <c r="F328" s="19">
        <f>D327*F326-E327*G326+F327*D326+G327*E326</f>
        <v>0</v>
      </c>
      <c r="G328" s="19">
        <f>D327*G326+E327*F326-F327*E326+G327*D326</f>
        <v>0</v>
      </c>
      <c r="H328" s="19"/>
      <c r="I328" s="19"/>
      <c r="J328" s="19"/>
      <c r="K328" s="19"/>
      <c r="L328" s="19"/>
    </row>
    <row r="329" spans="2:18" hidden="1" x14ac:dyDescent="0.2">
      <c r="B329" s="20"/>
      <c r="C329" s="19" t="s">
        <v>848</v>
      </c>
      <c r="D329" s="19">
        <f>F328</f>
        <v>0</v>
      </c>
      <c r="E329" s="19">
        <f>E328</f>
        <v>0.48388829899810243</v>
      </c>
      <c r="F329" s="19">
        <f>G328</f>
        <v>0</v>
      </c>
      <c r="G329" s="19">
        <f>D328</f>
        <v>0.87512976985857538</v>
      </c>
      <c r="H329" s="19" t="s">
        <v>878</v>
      </c>
      <c r="I329" s="19" t="str">
        <f>CONCATENATE(TEXT(D329,"0.000000")," ",TEXT(E329,"0.000000")," ",TEXT(F329,"0.000000")," ",TEXT(G329,"0.000000"))</f>
        <v>0.000000 0.483888 0.000000 0.875130</v>
      </c>
      <c r="J329" s="19"/>
      <c r="K329" s="19"/>
      <c r="L329" s="19"/>
    </row>
    <row r="330" spans="2:18" hidden="1" x14ac:dyDescent="0.2">
      <c r="B330" s="20" t="s">
        <v>828</v>
      </c>
      <c r="C330" s="19" t="s">
        <v>1212</v>
      </c>
      <c r="D330" s="19">
        <f>D300</f>
        <v>0.9340640140627684</v>
      </c>
      <c r="E330" s="19">
        <f>E300</f>
        <v>-0.35614489620433071</v>
      </c>
      <c r="F330" s="19">
        <f>F300</f>
        <v>9.3259681405067525E-3</v>
      </c>
      <c r="G330" s="19">
        <f>G300</f>
        <v>2.4459289826086545E-2</v>
      </c>
      <c r="H330" s="19"/>
      <c r="I330" s="19"/>
      <c r="J330" s="19"/>
      <c r="K330" s="19"/>
      <c r="L330" s="19"/>
      <c r="M330" s="19"/>
    </row>
    <row r="331" spans="2:18" hidden="1" x14ac:dyDescent="0.2">
      <c r="C331" s="19" t="s">
        <v>1213</v>
      </c>
      <c r="D331" s="19">
        <f>D323</f>
        <v>0.99647710222335251</v>
      </c>
      <c r="E331" s="19">
        <f>E323</f>
        <v>8.3865277347363723E-2</v>
      </c>
      <c r="F331" s="19">
        <f>F323</f>
        <v>0</v>
      </c>
      <c r="G331" s="19">
        <f>G323</f>
        <v>0</v>
      </c>
      <c r="H331" s="19"/>
      <c r="I331" s="19"/>
      <c r="J331" s="19"/>
      <c r="K331" s="19"/>
      <c r="L331" s="19"/>
      <c r="M331" s="19"/>
    </row>
    <row r="332" spans="2:18" hidden="1" x14ac:dyDescent="0.2">
      <c r="C332" s="19" t="s">
        <v>1218</v>
      </c>
      <c r="D332" s="19">
        <f>D331*D330-E331*E330-F331*F330-G331*G330</f>
        <v>0.96064159252040449</v>
      </c>
      <c r="E332" s="19">
        <f>D331*E330+E331*D330+F331*G330-G331*F330</f>
        <v>-0.27655469654176223</v>
      </c>
      <c r="F332" s="19">
        <f>D331*F330-E331*G330+F331*D330+G331*E330</f>
        <v>7.2418285830951759E-3</v>
      </c>
      <c r="G332" s="19">
        <f>D331*G330+E331*F330-F331*E330+G331*D330</f>
        <v>2.5155247152976127E-2</v>
      </c>
      <c r="H332" s="19"/>
      <c r="I332" s="19"/>
      <c r="J332" s="19"/>
      <c r="K332" s="19"/>
      <c r="L332" s="19"/>
    </row>
    <row r="333" spans="2:18" hidden="1" x14ac:dyDescent="0.2">
      <c r="C333" s="19" t="s">
        <v>848</v>
      </c>
      <c r="D333" s="19">
        <f>F332</f>
        <v>7.2418285830951759E-3</v>
      </c>
      <c r="E333" s="19">
        <f>E332</f>
        <v>-0.27655469654176223</v>
      </c>
      <c r="F333" s="19">
        <f>G332</f>
        <v>2.5155247152976127E-2</v>
      </c>
      <c r="G333" s="19">
        <f>D332</f>
        <v>0.96064159252040449</v>
      </c>
      <c r="H333" s="19" t="s">
        <v>878</v>
      </c>
      <c r="I333" s="19" t="str">
        <f>CONCATENATE(TEXT(D333,"0.000000")," ",TEXT(E333,"0.000000")," ",TEXT(F333,"0.000000")," ",TEXT(G333,"0.000000"))</f>
        <v>0.007242 -0.276555 0.025155 0.960642</v>
      </c>
      <c r="J333" s="19"/>
      <c r="K333" s="19"/>
      <c r="L333" s="19"/>
      <c r="N333" s="1" t="s">
        <v>14</v>
      </c>
      <c r="O333" s="1" t="s">
        <v>15</v>
      </c>
      <c r="P333" s="1" t="s">
        <v>16</v>
      </c>
      <c r="Q333" s="1" t="s">
        <v>17</v>
      </c>
      <c r="R333" s="1" t="s">
        <v>18</v>
      </c>
    </row>
    <row r="334" spans="2:18" hidden="1" x14ac:dyDescent="0.2">
      <c r="B334" s="20" t="s">
        <v>829</v>
      </c>
      <c r="C334" s="19" t="s">
        <v>848</v>
      </c>
      <c r="D334" s="1">
        <f>-F333</f>
        <v>-2.5155247152976127E-2</v>
      </c>
      <c r="E334" s="1">
        <f>-G333</f>
        <v>-0.96064159252040449</v>
      </c>
      <c r="F334" s="1">
        <f>D333</f>
        <v>7.2418285830951759E-3</v>
      </c>
      <c r="G334" s="1">
        <f>E333</f>
        <v>-0.27655469654176223</v>
      </c>
      <c r="H334" s="19" t="s">
        <v>878</v>
      </c>
      <c r="I334" s="19" t="str">
        <f>CONCATENATE(TEXT(D334,"0.000000")," ",TEXT(E334,"0.000000")," ",TEXT(F334,"0.000000")," ",TEXT(G334,"0.000000"))</f>
        <v>-0.025155 -0.960642 0.007242 -0.276555</v>
      </c>
      <c r="J334" s="19"/>
      <c r="K334" s="19"/>
      <c r="L334" s="19"/>
      <c r="N334" s="1">
        <f>IF(ABS(N302+K323)&lt;=1024,N302+K323,IF(N302+K323&gt;1024,N302+K323-2048,N302+K323+2048))</f>
        <v>-80.107579525695627</v>
      </c>
      <c r="O334" s="1">
        <f>O302+L323</f>
        <v>10.065235416528004</v>
      </c>
      <c r="P334" s="1">
        <f>IF(ABS(P302+M323)&lt;=1024,P302+M323,IF(P302+M323&gt;1024,P302+M323-2048,P302+M323+2048))</f>
        <v>913.29117345965676</v>
      </c>
      <c r="Q334" s="1">
        <f>IF(ABS(N302+K323)&lt;=1024,Q302,IF(N302+K323&gt;1024,Q302+1,Q302-1))</f>
        <v>-5769</v>
      </c>
      <c r="R334" s="1">
        <f>IF(ABS(P302+M323)&lt;=1024,R302,IF(P302+M323&gt;1024,R302+1,R302-1))</f>
        <v>14677</v>
      </c>
    </row>
    <row r="335" spans="2:18" hidden="1" x14ac:dyDescent="0.2">
      <c r="B335" s="20" t="s">
        <v>830</v>
      </c>
      <c r="C335" s="19" t="s">
        <v>1212</v>
      </c>
      <c r="D335" s="19">
        <f>D305</f>
        <v>0.93438420321934412</v>
      </c>
      <c r="E335" s="19">
        <f>E305</f>
        <v>-0.35626697962925402</v>
      </c>
      <c r="F335" s="19">
        <f>F305</f>
        <v>0</v>
      </c>
      <c r="G335" s="19">
        <f>G305</f>
        <v>0</v>
      </c>
      <c r="H335" s="19"/>
      <c r="I335" s="19"/>
      <c r="J335" s="19"/>
      <c r="K335" s="19"/>
      <c r="L335" s="19"/>
      <c r="N335" s="1"/>
      <c r="O335" s="1"/>
      <c r="P335" s="1"/>
      <c r="Q335" s="1"/>
      <c r="R335" s="1"/>
    </row>
    <row r="336" spans="2:18" hidden="1" x14ac:dyDescent="0.2">
      <c r="B336" s="20"/>
      <c r="C336" s="19" t="s">
        <v>1213</v>
      </c>
      <c r="D336" s="19">
        <f>D331</f>
        <v>0.99647710222335251</v>
      </c>
      <c r="E336" s="19">
        <f>E331</f>
        <v>8.3865277347363723E-2</v>
      </c>
      <c r="F336" s="19">
        <f>F331</f>
        <v>0</v>
      </c>
      <c r="G336" s="19">
        <f>G331</f>
        <v>0</v>
      </c>
      <c r="H336" s="19"/>
      <c r="I336" s="19"/>
      <c r="J336" s="19"/>
      <c r="K336" s="19"/>
      <c r="L336" s="19"/>
      <c r="N336" s="1"/>
      <c r="O336" s="1"/>
      <c r="P336" s="1"/>
      <c r="Q336" s="1"/>
      <c r="R336" s="1"/>
    </row>
    <row r="337" spans="1:20" hidden="1" x14ac:dyDescent="0.2">
      <c r="B337" s="20"/>
      <c r="C337" s="19" t="s">
        <v>1218</v>
      </c>
      <c r="D337" s="19">
        <f>D336*D335-E336*E335-F336*F335-G336*G335</f>
        <v>0.9609708922436031</v>
      </c>
      <c r="E337" s="19">
        <f>D336*E335+E336*D335+F336*G335-G336*F335</f>
        <v>-0.27664949712683945</v>
      </c>
      <c r="F337" s="19">
        <f>D336*F335-E336*G335+F336*D335+G336*E335</f>
        <v>0</v>
      </c>
      <c r="G337" s="19">
        <f>D336*G335+E336*F335-F336*E335+G336*D335</f>
        <v>0</v>
      </c>
      <c r="H337" s="19"/>
      <c r="I337" s="19"/>
      <c r="J337" s="19"/>
      <c r="K337" s="19"/>
      <c r="L337" s="19"/>
      <c r="N337" s="1"/>
      <c r="O337" s="1"/>
      <c r="P337" s="1"/>
      <c r="Q337" s="1"/>
      <c r="R337" s="1"/>
    </row>
    <row r="338" spans="1:20" hidden="1" x14ac:dyDescent="0.2">
      <c r="B338" s="20"/>
      <c r="C338" s="19" t="s">
        <v>848</v>
      </c>
      <c r="D338" s="19">
        <f>F337</f>
        <v>0</v>
      </c>
      <c r="E338" s="19">
        <f>E337</f>
        <v>-0.27664949712683945</v>
      </c>
      <c r="F338" s="19">
        <f>G337</f>
        <v>0</v>
      </c>
      <c r="G338" s="19">
        <f>D337</f>
        <v>0.9609708922436031</v>
      </c>
      <c r="H338" s="19" t="s">
        <v>878</v>
      </c>
      <c r="I338" s="19" t="str">
        <f>CONCATENATE(TEXT(D338,"0.000000")," ",TEXT(E338,"0.000000")," ",TEXT(F338,"0.000000")," ",TEXT(G338,"0.000000"))</f>
        <v>0.000000 -0.276649 0.000000 0.960971</v>
      </c>
      <c r="J338" s="19"/>
      <c r="K338" s="19"/>
      <c r="L338" s="19"/>
      <c r="N338" s="1"/>
      <c r="O338" s="1"/>
      <c r="P338" s="1"/>
      <c r="Q338" s="1"/>
      <c r="R338" s="1"/>
    </row>
    <row r="339" spans="1:20" hidden="1" x14ac:dyDescent="0.2">
      <c r="B339" s="20" t="s">
        <v>831</v>
      </c>
      <c r="C339" s="19" t="s">
        <v>848</v>
      </c>
      <c r="D339" s="1">
        <f>-F338</f>
        <v>0</v>
      </c>
      <c r="E339" s="1">
        <f>-G338</f>
        <v>-0.9609708922436031</v>
      </c>
      <c r="F339" s="1">
        <f>D338</f>
        <v>0</v>
      </c>
      <c r="G339" s="1">
        <f>E338</f>
        <v>-0.27664949712683945</v>
      </c>
      <c r="H339" s="19" t="s">
        <v>878</v>
      </c>
      <c r="I339" s="19" t="str">
        <f>CONCATENATE(TEXT(D339,"0.000000")," ",TEXT(E339,"0.000000")," ",TEXT(F339,"0.000000")," ",TEXT(G339,"0.000000"))</f>
        <v>0.000000 -0.960971 0.000000 -0.276649</v>
      </c>
      <c r="J339" s="19"/>
      <c r="K339" s="19"/>
      <c r="L339" s="19"/>
      <c r="N339" s="1"/>
      <c r="O339" s="1"/>
      <c r="P339" s="1"/>
      <c r="Q339" s="1"/>
      <c r="R339" s="1"/>
    </row>
    <row r="340" spans="1:20" x14ac:dyDescent="0.2">
      <c r="C340" s="41"/>
      <c r="L340" s="59"/>
      <c r="T340" s="59"/>
    </row>
    <row r="341" spans="1:20" x14ac:dyDescent="0.2">
      <c r="A341" s="25" t="s">
        <v>1228</v>
      </c>
      <c r="H341" s="1"/>
      <c r="I341" s="1"/>
      <c r="J341" s="1"/>
      <c r="K341" s="1"/>
      <c r="L341" s="1"/>
      <c r="N341" s="1"/>
      <c r="O341" s="1"/>
      <c r="P341" s="1"/>
      <c r="Q341" s="1"/>
      <c r="R341" s="1"/>
    </row>
    <row r="342" spans="1:20" x14ac:dyDescent="0.2">
      <c r="C342" s="26" t="str">
        <f>T(IF(ABS(C343-C311)+ABS(E343-E311)&lt;&gt;0,"WARNING:  TILE CHANGE -&gt; other world tile file!",""))</f>
        <v/>
      </c>
      <c r="H342" s="1"/>
      <c r="I342" s="1"/>
      <c r="J342" s="1"/>
      <c r="K342" s="1"/>
      <c r="L342" s="1"/>
      <c r="N342" s="1"/>
      <c r="O342" s="1"/>
      <c r="P342" s="1"/>
      <c r="Q342" s="1"/>
      <c r="R342" s="1"/>
    </row>
    <row r="343" spans="1:20" x14ac:dyDescent="0.2">
      <c r="B343" s="88" t="s">
        <v>28</v>
      </c>
      <c r="C343" s="71">
        <f>Q334</f>
        <v>-5769</v>
      </c>
      <c r="D343" t="s">
        <v>27</v>
      </c>
      <c r="E343" s="71">
        <f>R334</f>
        <v>14677</v>
      </c>
      <c r="F343" t="s">
        <v>32</v>
      </c>
    </row>
    <row r="344" spans="1:20" x14ac:dyDescent="0.2">
      <c r="B344" s="88" t="s">
        <v>26</v>
      </c>
      <c r="C344" s="73" t="str">
        <f>CONCATENATE(TEXT(N334,"0.000")," ",TEXT(O334,"0.000")," ",TEXT(P334,"0.000"))</f>
        <v>-80.108 10.065 913.291</v>
      </c>
    </row>
    <row r="345" spans="1:20" x14ac:dyDescent="0.2">
      <c r="B345" s="88" t="s">
        <v>360</v>
      </c>
      <c r="C345" s="74" t="str">
        <f>I325</f>
        <v>0.022908 0.483723 0.012667 0.874830</v>
      </c>
    </row>
    <row r="346" spans="1:20" x14ac:dyDescent="0.2">
      <c r="B346" s="88" t="s">
        <v>453</v>
      </c>
      <c r="C346" s="74" t="str">
        <f>I329</f>
        <v>0.000000 0.483888 0.000000 0.875130</v>
      </c>
    </row>
    <row r="347" spans="1:20" x14ac:dyDescent="0.2">
      <c r="B347" s="88" t="s">
        <v>828</v>
      </c>
      <c r="C347" s="74" t="str">
        <f>I333</f>
        <v>0.007242 -0.276555 0.025155 0.960642</v>
      </c>
    </row>
    <row r="348" spans="1:20" x14ac:dyDescent="0.2">
      <c r="B348" s="88" t="s">
        <v>829</v>
      </c>
      <c r="C348" s="74" t="str">
        <f>I334</f>
        <v>-0.025155 -0.960642 0.007242 -0.276555</v>
      </c>
    </row>
    <row r="349" spans="1:20" x14ac:dyDescent="0.2">
      <c r="B349" s="88" t="s">
        <v>830</v>
      </c>
      <c r="C349" s="74" t="str">
        <f>I338</f>
        <v>0.000000 -0.276649 0.000000 0.960971</v>
      </c>
    </row>
    <row r="350" spans="1:20" x14ac:dyDescent="0.2">
      <c r="B350" s="88" t="s">
        <v>831</v>
      </c>
      <c r="C350" s="74" t="str">
        <f>I339</f>
        <v>0.000000 -0.960971 0.000000 -0.276649</v>
      </c>
    </row>
    <row r="351" spans="1:20" x14ac:dyDescent="0.2">
      <c r="C351" s="12" t="s">
        <v>456</v>
      </c>
      <c r="L351" s="59"/>
      <c r="T351" s="59"/>
    </row>
    <row r="352" spans="1:20" hidden="1" x14ac:dyDescent="0.2">
      <c r="C352" s="12"/>
    </row>
    <row r="353" spans="2:18" hidden="1" x14ac:dyDescent="0.2">
      <c r="D353" s="1" t="s">
        <v>1214</v>
      </c>
      <c r="E353" s="1" t="s">
        <v>1215</v>
      </c>
      <c r="F353" s="1" t="s">
        <v>1216</v>
      </c>
      <c r="G353" s="1" t="s">
        <v>1217</v>
      </c>
      <c r="I353" s="53" t="s">
        <v>1221</v>
      </c>
      <c r="K353" s="1" t="s">
        <v>40</v>
      </c>
      <c r="L353" s="1" t="s">
        <v>41</v>
      </c>
      <c r="M353" s="1" t="s">
        <v>42</v>
      </c>
      <c r="N353" s="1"/>
      <c r="O353" s="1" t="s">
        <v>207</v>
      </c>
      <c r="P353" s="53"/>
    </row>
    <row r="354" spans="2:18" hidden="1" x14ac:dyDescent="0.2">
      <c r="B354" s="20" t="s">
        <v>451</v>
      </c>
      <c r="C354" s="19" t="s">
        <v>1212</v>
      </c>
      <c r="D354" s="19">
        <f>D324</f>
        <v>0.87483034984843255</v>
      </c>
      <c r="E354" s="19">
        <f>E324</f>
        <v>0.48372273973441804</v>
      </c>
      <c r="F354" s="19">
        <f>F324</f>
        <v>2.2908204116126308E-2</v>
      </c>
      <c r="G354" s="19">
        <f>G324</f>
        <v>1.266670643491764E-2</v>
      </c>
      <c r="H354" s="19"/>
      <c r="I354" s="19">
        <f>SQRT(K354^2+L354^2+M354^2)</f>
        <v>29.042940287483887</v>
      </c>
      <c r="J354" s="19" t="s">
        <v>1219</v>
      </c>
      <c r="K354" s="19">
        <f>K323</f>
        <v>-23.078081400833788</v>
      </c>
      <c r="L354" s="19">
        <f>L323</f>
        <v>1.5199877443008956</v>
      </c>
      <c r="M354" s="19">
        <f>M323</f>
        <v>17.566564167645854</v>
      </c>
      <c r="N354" s="20" t="s">
        <v>34</v>
      </c>
      <c r="O354" s="1">
        <f>O322</f>
        <v>0.98593323051089954</v>
      </c>
      <c r="P354" s="1"/>
    </row>
    <row r="355" spans="2:18" hidden="1" x14ac:dyDescent="0.2">
      <c r="B355" s="20"/>
      <c r="C355" s="19" t="s">
        <v>1213</v>
      </c>
      <c r="D355" s="19">
        <f>D323</f>
        <v>0.99647710222335251</v>
      </c>
      <c r="E355" s="19">
        <f>E323</f>
        <v>8.3865277347363723E-2</v>
      </c>
      <c r="F355" s="19">
        <f>F323</f>
        <v>0</v>
      </c>
      <c r="G355" s="19">
        <f>G323</f>
        <v>0</v>
      </c>
      <c r="H355" s="19"/>
      <c r="I355" s="19">
        <f>SQRT(K355^2+L355^2+M355^2)</f>
        <v>29.042940287483891</v>
      </c>
      <c r="J355" s="19" t="s">
        <v>208</v>
      </c>
      <c r="K355" s="19">
        <f>O354*K354-O355*M354</f>
        <v>-25.689516860861865</v>
      </c>
      <c r="L355" s="19">
        <f>L354</f>
        <v>1.5199877443008956</v>
      </c>
      <c r="M355" s="1">
        <f>O355*K354+O354*M354</f>
        <v>13.462196747003208</v>
      </c>
      <c r="N355" s="20" t="s">
        <v>35</v>
      </c>
      <c r="O355" s="1">
        <f>O323</f>
        <v>0.16713965709651754</v>
      </c>
      <c r="P355" s="1"/>
    </row>
    <row r="356" spans="2:18" hidden="1" x14ac:dyDescent="0.2">
      <c r="B356" s="20"/>
      <c r="C356" s="19" t="s">
        <v>1218</v>
      </c>
      <c r="D356" s="19">
        <f>D355*D354-E355*E354-F355*F354-G355*G354</f>
        <v>0.83118087022695419</v>
      </c>
      <c r="E356" s="19">
        <f>D355*E354+E355*D354+F355*G354-G355*F354</f>
        <v>0.55538652389202381</v>
      </c>
      <c r="F356" s="19">
        <f>D355*F354-E355*G354+F355*D354+G355*E354</f>
        <v>2.1765204006536615E-2</v>
      </c>
      <c r="G356" s="19">
        <f>D355*G354+E355*F354-F355*E354+G355*D354</f>
        <v>1.4543285814709574E-2</v>
      </c>
      <c r="H356" s="19"/>
      <c r="I356" s="19"/>
      <c r="J356" s="19"/>
      <c r="K356" s="19"/>
      <c r="L356" s="19"/>
    </row>
    <row r="357" spans="2:18" hidden="1" x14ac:dyDescent="0.2">
      <c r="B357" s="20"/>
      <c r="C357" s="19" t="s">
        <v>848</v>
      </c>
      <c r="D357" s="19">
        <f>F356</f>
        <v>2.1765204006536615E-2</v>
      </c>
      <c r="E357" s="19">
        <f>E356</f>
        <v>0.55538652389202381</v>
      </c>
      <c r="F357" s="19">
        <f>G356</f>
        <v>1.4543285814709574E-2</v>
      </c>
      <c r="G357" s="19">
        <f>D356</f>
        <v>0.83118087022695419</v>
      </c>
      <c r="H357" s="19" t="s">
        <v>878</v>
      </c>
      <c r="I357" s="19" t="str">
        <f>CONCATENATE(TEXT(D357,"0.000000")," ",TEXT(E357,"0.000000")," ",TEXT(F357,"0.000000")," ",TEXT(G357,"0.000000"))</f>
        <v>0.021765 0.555387 0.014543 0.831181</v>
      </c>
      <c r="J357" s="19"/>
      <c r="K357" s="19"/>
      <c r="L357" s="19"/>
    </row>
    <row r="358" spans="2:18" hidden="1" x14ac:dyDescent="0.2">
      <c r="B358" s="20" t="s">
        <v>453</v>
      </c>
      <c r="C358" s="19" t="s">
        <v>1212</v>
      </c>
      <c r="D358" s="19">
        <f>D328</f>
        <v>0.87512976985857538</v>
      </c>
      <c r="E358" s="19">
        <f>E328</f>
        <v>0.48388829899810243</v>
      </c>
      <c r="F358" s="19">
        <f>F328</f>
        <v>0</v>
      </c>
      <c r="G358" s="19">
        <f>G328</f>
        <v>0</v>
      </c>
      <c r="H358" s="19"/>
      <c r="J358" s="19"/>
      <c r="K358" s="19"/>
      <c r="L358" s="19"/>
    </row>
    <row r="359" spans="2:18" hidden="1" x14ac:dyDescent="0.2">
      <c r="B359" s="20"/>
      <c r="C359" s="19" t="s">
        <v>1213</v>
      </c>
      <c r="D359" s="19">
        <f>D355</f>
        <v>0.99647710222335251</v>
      </c>
      <c r="E359" s="19">
        <f>E355</f>
        <v>8.3865277347363723E-2</v>
      </c>
      <c r="F359" s="19">
        <f>F355</f>
        <v>0</v>
      </c>
      <c r="G359" s="19">
        <f>G355</f>
        <v>0</v>
      </c>
      <c r="H359" s="19"/>
      <c r="J359" s="19"/>
      <c r="K359" s="19"/>
      <c r="L359" s="19"/>
    </row>
    <row r="360" spans="2:18" hidden="1" x14ac:dyDescent="0.2">
      <c r="B360" s="20"/>
      <c r="C360" s="19" t="s">
        <v>1218</v>
      </c>
      <c r="D360" s="19">
        <f>D359*D358-E359*E358-F359*F358-G359*G358</f>
        <v>0.83146535073744265</v>
      </c>
      <c r="E360" s="19">
        <f>D359*E358+E359*D358+F359*G358-G359*F358</f>
        <v>0.55557661084954024</v>
      </c>
      <c r="F360" s="19">
        <f>D359*F358-E359*G358+F359*D358+G359*E358</f>
        <v>0</v>
      </c>
      <c r="G360" s="19">
        <f>D359*G358+E359*F358-F359*E358+G359*D358</f>
        <v>0</v>
      </c>
      <c r="H360" s="19"/>
      <c r="I360" s="19"/>
      <c r="J360" s="19"/>
      <c r="K360" s="19"/>
      <c r="L360" s="19"/>
    </row>
    <row r="361" spans="2:18" hidden="1" x14ac:dyDescent="0.2">
      <c r="B361" s="20"/>
      <c r="C361" s="19" t="s">
        <v>848</v>
      </c>
      <c r="D361" s="19">
        <f>F360</f>
        <v>0</v>
      </c>
      <c r="E361" s="19">
        <f>E360</f>
        <v>0.55557661084954024</v>
      </c>
      <c r="F361" s="19">
        <f>G360</f>
        <v>0</v>
      </c>
      <c r="G361" s="19">
        <f>D360</f>
        <v>0.83146535073744265</v>
      </c>
      <c r="H361" s="19" t="s">
        <v>878</v>
      </c>
      <c r="I361" s="19" t="str">
        <f>CONCATENATE(TEXT(D361,"0.000000")," ",TEXT(E361,"0.000000")," ",TEXT(F361,"0.000000")," ",TEXT(G361,"0.000000"))</f>
        <v>0.000000 0.555577 0.000000 0.831465</v>
      </c>
      <c r="J361" s="19"/>
      <c r="K361" s="19"/>
      <c r="L361" s="19"/>
    </row>
    <row r="362" spans="2:18" hidden="1" x14ac:dyDescent="0.2">
      <c r="B362" s="20" t="s">
        <v>828</v>
      </c>
      <c r="C362" s="19" t="s">
        <v>1212</v>
      </c>
      <c r="D362" s="19">
        <f>D332</f>
        <v>0.96064159252040449</v>
      </c>
      <c r="E362" s="19">
        <f>E332</f>
        <v>-0.27655469654176223</v>
      </c>
      <c r="F362" s="19">
        <f>F332</f>
        <v>7.2418285830951759E-3</v>
      </c>
      <c r="G362" s="19">
        <f>G332</f>
        <v>2.5155247152976127E-2</v>
      </c>
      <c r="H362" s="19"/>
      <c r="I362" s="19"/>
      <c r="J362" s="19"/>
      <c r="K362" s="19"/>
      <c r="L362" s="19"/>
      <c r="M362" s="19"/>
    </row>
    <row r="363" spans="2:18" hidden="1" x14ac:dyDescent="0.2">
      <c r="C363" s="19" t="s">
        <v>1213</v>
      </c>
      <c r="D363" s="19">
        <f>D355</f>
        <v>0.99647710222335251</v>
      </c>
      <c r="E363" s="19">
        <f>E355</f>
        <v>8.3865277347363723E-2</v>
      </c>
      <c r="F363" s="19">
        <f>F355</f>
        <v>0</v>
      </c>
      <c r="G363" s="19">
        <f>G355</f>
        <v>0</v>
      </c>
      <c r="H363" s="19"/>
      <c r="I363" s="19"/>
      <c r="J363" s="19"/>
      <c r="K363" s="19"/>
      <c r="L363" s="19"/>
      <c r="M363" s="19"/>
    </row>
    <row r="364" spans="2:18" hidden="1" x14ac:dyDescent="0.2">
      <c r="C364" s="19" t="s">
        <v>1218</v>
      </c>
      <c r="D364" s="19">
        <f>D363*D362-E363*E362-F363*F362-G363*G362</f>
        <v>0.98045068671715019</v>
      </c>
      <c r="E364" s="19">
        <f>D363*E362+E363*D362+F363*G362-G363*F362</f>
        <v>-0.19501594902805697</v>
      </c>
      <c r="F364" s="19">
        <f>D363*F362-E363*G362+F363*D362+G363*E362</f>
        <v>5.1066645820551024E-3</v>
      </c>
      <c r="G364" s="19">
        <f>D363*G362+E363*F362-F363*E362+G363*D362</f>
        <v>2.5673965751333232E-2</v>
      </c>
      <c r="H364" s="19"/>
      <c r="I364" s="19"/>
      <c r="J364" s="19"/>
      <c r="K364" s="19"/>
      <c r="L364" s="19"/>
    </row>
    <row r="365" spans="2:18" hidden="1" x14ac:dyDescent="0.2">
      <c r="C365" s="19" t="s">
        <v>848</v>
      </c>
      <c r="D365" s="19">
        <f>F364</f>
        <v>5.1066645820551024E-3</v>
      </c>
      <c r="E365" s="19">
        <f>E364</f>
        <v>-0.19501594902805697</v>
      </c>
      <c r="F365" s="19">
        <f>G364</f>
        <v>2.5673965751333232E-2</v>
      </c>
      <c r="G365" s="19">
        <f>D364</f>
        <v>0.98045068671715019</v>
      </c>
      <c r="H365" s="19" t="s">
        <v>878</v>
      </c>
      <c r="I365" s="19" t="str">
        <f>CONCATENATE(TEXT(D365,"0.000000")," ",TEXT(E365,"0.000000")," ",TEXT(F365,"0.000000")," ",TEXT(G365,"0.000000"))</f>
        <v>0.005107 -0.195016 0.025674 0.980451</v>
      </c>
      <c r="J365" s="19"/>
      <c r="K365" s="19"/>
      <c r="L365" s="19"/>
      <c r="N365" s="1" t="s">
        <v>14</v>
      </c>
      <c r="O365" s="1" t="s">
        <v>15</v>
      </c>
      <c r="P365" s="1" t="s">
        <v>16</v>
      </c>
      <c r="Q365" s="1" t="s">
        <v>17</v>
      </c>
      <c r="R365" s="1" t="s">
        <v>18</v>
      </c>
    </row>
    <row r="366" spans="2:18" hidden="1" x14ac:dyDescent="0.2">
      <c r="B366" s="20" t="s">
        <v>829</v>
      </c>
      <c r="C366" s="19" t="s">
        <v>848</v>
      </c>
      <c r="D366" s="1">
        <f>-F365</f>
        <v>-2.5673965751333232E-2</v>
      </c>
      <c r="E366" s="1">
        <f>-G365</f>
        <v>-0.98045068671715019</v>
      </c>
      <c r="F366" s="1">
        <f>D365</f>
        <v>5.1066645820551024E-3</v>
      </c>
      <c r="G366" s="1">
        <f>E365</f>
        <v>-0.19501594902805697</v>
      </c>
      <c r="H366" s="19" t="s">
        <v>878</v>
      </c>
      <c r="I366" s="19" t="str">
        <f>CONCATENATE(TEXT(D366,"0.000000")," ",TEXT(E366,"0.000000")," ",TEXT(F366,"0.000000")," ",TEXT(G366,"0.000000"))</f>
        <v>-0.025674 -0.980451 0.005107 -0.195016</v>
      </c>
      <c r="J366" s="19"/>
      <c r="K366" s="19"/>
      <c r="L366" s="19"/>
      <c r="N366" s="1">
        <f>IF(ABS(N334+K355)&lt;=1024,N334+K355,IF(N334+K355&gt;1024,N334+K355-2048,N334+K355+2048))</f>
        <v>-105.79709638655748</v>
      </c>
      <c r="O366" s="1">
        <f>O334+L355</f>
        <v>11.5852231608289</v>
      </c>
      <c r="P366" s="1">
        <f>IF(ABS(P334+M355)&lt;=1024,P334+M355,IF(P334+M355&gt;1024,P334+M355-2048,P334+M355+2048))</f>
        <v>926.75337020665995</v>
      </c>
      <c r="Q366" s="1">
        <f>IF(ABS(N334+K355)&lt;=1024,Q334,IF(N334+K355&gt;1024,Q334+1,Q334-1))</f>
        <v>-5769</v>
      </c>
      <c r="R366" s="1">
        <f>IF(ABS(P334+M355)&lt;=1024,R334,IF(P334+M355&gt;1024,R334+1,R334-1))</f>
        <v>14677</v>
      </c>
    </row>
    <row r="367" spans="2:18" hidden="1" x14ac:dyDescent="0.2">
      <c r="B367" s="20" t="s">
        <v>830</v>
      </c>
      <c r="C367" s="19" t="s">
        <v>1212</v>
      </c>
      <c r="D367" s="19">
        <f>D337</f>
        <v>0.9609708922436031</v>
      </c>
      <c r="E367" s="19">
        <f>E337</f>
        <v>-0.27664949712683945</v>
      </c>
      <c r="F367" s="19">
        <f>F337</f>
        <v>0</v>
      </c>
      <c r="G367" s="19">
        <f>G337</f>
        <v>0</v>
      </c>
      <c r="H367" s="19"/>
      <c r="I367" s="19"/>
      <c r="J367" s="19"/>
      <c r="K367" s="19"/>
      <c r="L367" s="19"/>
      <c r="N367" s="1"/>
      <c r="O367" s="1"/>
      <c r="P367" s="1"/>
      <c r="Q367" s="1"/>
      <c r="R367" s="1"/>
    </row>
    <row r="368" spans="2:18" hidden="1" x14ac:dyDescent="0.2">
      <c r="B368" s="20"/>
      <c r="C368" s="19" t="s">
        <v>1213</v>
      </c>
      <c r="D368" s="19">
        <f>D363</f>
        <v>0.99647710222335251</v>
      </c>
      <c r="E368" s="19">
        <f>E363</f>
        <v>8.3865277347363723E-2</v>
      </c>
      <c r="F368" s="19">
        <f>F363</f>
        <v>0</v>
      </c>
      <c r="G368" s="19">
        <f>G363</f>
        <v>0</v>
      </c>
      <c r="H368" s="19"/>
      <c r="I368" s="19"/>
      <c r="J368" s="19"/>
      <c r="K368" s="19"/>
      <c r="L368" s="19"/>
      <c r="N368" s="1"/>
      <c r="O368" s="1"/>
      <c r="P368" s="1"/>
      <c r="Q368" s="1"/>
      <c r="R368" s="1"/>
    </row>
    <row r="369" spans="1:20" hidden="1" x14ac:dyDescent="0.2">
      <c r="B369" s="20"/>
      <c r="C369" s="19" t="s">
        <v>1218</v>
      </c>
      <c r="D369" s="19">
        <f>D368*D367-E368*E367-F368*F367-G368*G367</f>
        <v>0.98078677682844628</v>
      </c>
      <c r="E369" s="19">
        <f>D368*E367+E368*D367+F368*G367-G368*F367</f>
        <v>-0.19508279882774729</v>
      </c>
      <c r="F369" s="19">
        <f>D368*F367-E368*G367+F368*D367+G368*E367</f>
        <v>0</v>
      </c>
      <c r="G369" s="19">
        <f>D368*G367+E368*F367-F368*E367+G368*D367</f>
        <v>0</v>
      </c>
      <c r="H369" s="19"/>
      <c r="I369" s="19"/>
      <c r="J369" s="19"/>
      <c r="K369" s="19"/>
      <c r="L369" s="19"/>
      <c r="N369" s="1"/>
      <c r="O369" s="1"/>
      <c r="P369" s="1"/>
      <c r="Q369" s="1"/>
      <c r="R369" s="1"/>
    </row>
    <row r="370" spans="1:20" hidden="1" x14ac:dyDescent="0.2">
      <c r="B370" s="20"/>
      <c r="C370" s="19" t="s">
        <v>848</v>
      </c>
      <c r="D370" s="19">
        <f>F369</f>
        <v>0</v>
      </c>
      <c r="E370" s="19">
        <f>E369</f>
        <v>-0.19508279882774729</v>
      </c>
      <c r="F370" s="19">
        <f>G369</f>
        <v>0</v>
      </c>
      <c r="G370" s="19">
        <f>D369</f>
        <v>0.98078677682844628</v>
      </c>
      <c r="H370" s="19" t="s">
        <v>878</v>
      </c>
      <c r="I370" s="19" t="str">
        <f>CONCATENATE(TEXT(D370,"0.000000")," ",TEXT(E370,"0.000000")," ",TEXT(F370,"0.000000")," ",TEXT(G370,"0.000000"))</f>
        <v>0.000000 -0.195083 0.000000 0.980787</v>
      </c>
      <c r="J370" s="19"/>
      <c r="K370" s="19"/>
      <c r="L370" s="19"/>
      <c r="N370" s="1"/>
      <c r="O370" s="1"/>
      <c r="P370" s="1"/>
      <c r="Q370" s="1"/>
      <c r="R370" s="1"/>
    </row>
    <row r="371" spans="1:20" hidden="1" x14ac:dyDescent="0.2">
      <c r="B371" s="20" t="s">
        <v>831</v>
      </c>
      <c r="C371" s="19" t="s">
        <v>848</v>
      </c>
      <c r="D371" s="1">
        <f>-F370</f>
        <v>0</v>
      </c>
      <c r="E371" s="1">
        <f>-G370</f>
        <v>-0.98078677682844628</v>
      </c>
      <c r="F371" s="1">
        <f>D370</f>
        <v>0</v>
      </c>
      <c r="G371" s="1">
        <f>E370</f>
        <v>-0.19508279882774729</v>
      </c>
      <c r="H371" s="19" t="s">
        <v>878</v>
      </c>
      <c r="I371" s="19" t="str">
        <f>CONCATENATE(TEXT(D371,"0.000000")," ",TEXT(E371,"0.000000")," ",TEXT(F371,"0.000000")," ",TEXT(G371,"0.000000"))</f>
        <v>0.000000 -0.980787 0.000000 -0.195083</v>
      </c>
      <c r="J371" s="19"/>
      <c r="K371" s="19"/>
      <c r="L371" s="19"/>
      <c r="N371" s="1"/>
      <c r="O371" s="1"/>
      <c r="P371" s="1"/>
      <c r="Q371" s="1"/>
      <c r="R371" s="1"/>
    </row>
    <row r="372" spans="1:20" x14ac:dyDescent="0.2">
      <c r="C372" s="41"/>
      <c r="L372" s="59"/>
      <c r="T372" s="59"/>
    </row>
    <row r="373" spans="1:20" x14ac:dyDescent="0.2">
      <c r="A373" s="25" t="s">
        <v>1229</v>
      </c>
      <c r="H373" s="1"/>
      <c r="I373" s="1"/>
      <c r="J373" s="1"/>
      <c r="K373" s="1"/>
      <c r="L373" s="1"/>
      <c r="N373" s="1"/>
      <c r="O373" s="1"/>
      <c r="P373" s="1"/>
      <c r="Q373" s="1"/>
      <c r="R373" s="1"/>
    </row>
    <row r="374" spans="1:20" x14ac:dyDescent="0.2">
      <c r="C374" s="26" t="str">
        <f>T(IF(ABS(C375-C343)+ABS(E375-E343)&lt;&gt;0,"WARNING:  TILE CHANGE -&gt; other world tile file!",""))</f>
        <v/>
      </c>
      <c r="H374" s="1"/>
      <c r="I374" s="1"/>
      <c r="J374" s="1"/>
      <c r="K374" s="1"/>
      <c r="L374" s="1"/>
      <c r="N374" s="1"/>
      <c r="O374" s="1"/>
      <c r="P374" s="1"/>
      <c r="Q374" s="1"/>
      <c r="R374" s="1"/>
    </row>
    <row r="375" spans="1:20" x14ac:dyDescent="0.2">
      <c r="B375" s="88" t="s">
        <v>28</v>
      </c>
      <c r="C375" s="71">
        <f>Q366</f>
        <v>-5769</v>
      </c>
      <c r="D375" t="s">
        <v>27</v>
      </c>
      <c r="E375" s="71">
        <f>R366</f>
        <v>14677</v>
      </c>
      <c r="F375" t="s">
        <v>32</v>
      </c>
    </row>
    <row r="376" spans="1:20" x14ac:dyDescent="0.2">
      <c r="B376" s="88" t="s">
        <v>26</v>
      </c>
      <c r="C376" s="73" t="str">
        <f>CONCATENATE(TEXT(N366,"0.000")," ",TEXT(O366,"0.000")," ",TEXT(P366,"0.000"))</f>
        <v>-105.797 11.585 926.753</v>
      </c>
    </row>
    <row r="377" spans="1:20" x14ac:dyDescent="0.2">
      <c r="B377" s="88" t="s">
        <v>360</v>
      </c>
      <c r="C377" s="74" t="str">
        <f>I357</f>
        <v>0.021765 0.555387 0.014543 0.831181</v>
      </c>
    </row>
    <row r="378" spans="1:20" x14ac:dyDescent="0.2">
      <c r="B378" s="88" t="s">
        <v>453</v>
      </c>
      <c r="C378" s="74" t="str">
        <f>I361</f>
        <v>0.000000 0.555577 0.000000 0.831465</v>
      </c>
    </row>
    <row r="379" spans="1:20" x14ac:dyDescent="0.2">
      <c r="B379" s="88" t="s">
        <v>828</v>
      </c>
      <c r="C379" s="74" t="str">
        <f>I365</f>
        <v>0.005107 -0.195016 0.025674 0.980451</v>
      </c>
    </row>
    <row r="380" spans="1:20" x14ac:dyDescent="0.2">
      <c r="B380" s="88" t="s">
        <v>829</v>
      </c>
      <c r="C380" s="74" t="str">
        <f>I366</f>
        <v>-0.025674 -0.980451 0.005107 -0.195016</v>
      </c>
    </row>
    <row r="381" spans="1:20" x14ac:dyDescent="0.2">
      <c r="B381" s="88" t="s">
        <v>830</v>
      </c>
      <c r="C381" s="74" t="str">
        <f>I370</f>
        <v>0.000000 -0.195083 0.000000 0.980787</v>
      </c>
    </row>
    <row r="382" spans="1:20" x14ac:dyDescent="0.2">
      <c r="B382" s="88" t="s">
        <v>831</v>
      </c>
      <c r="C382" s="74" t="str">
        <f>I371</f>
        <v>0.000000 -0.980787 0.000000 -0.195083</v>
      </c>
    </row>
    <row r="383" spans="1:20" x14ac:dyDescent="0.2">
      <c r="C383" s="12" t="s">
        <v>456</v>
      </c>
      <c r="L383" s="59"/>
      <c r="T383" s="59"/>
    </row>
    <row r="384" spans="1:20" hidden="1" x14ac:dyDescent="0.2">
      <c r="C384" s="12"/>
    </row>
    <row r="385" spans="2:18" hidden="1" x14ac:dyDescent="0.2">
      <c r="D385" s="1" t="s">
        <v>1214</v>
      </c>
      <c r="E385" s="1" t="s">
        <v>1215</v>
      </c>
      <c r="F385" s="1" t="s">
        <v>1216</v>
      </c>
      <c r="G385" s="1" t="s">
        <v>1217</v>
      </c>
      <c r="I385" s="53" t="s">
        <v>1221</v>
      </c>
      <c r="K385" s="1" t="s">
        <v>40</v>
      </c>
      <c r="L385" s="1" t="s">
        <v>41</v>
      </c>
      <c r="M385" s="1" t="s">
        <v>42</v>
      </c>
      <c r="N385" s="1"/>
      <c r="O385" s="1" t="s">
        <v>207</v>
      </c>
      <c r="P385" s="53"/>
    </row>
    <row r="386" spans="2:18" hidden="1" x14ac:dyDescent="0.2">
      <c r="B386" s="20" t="s">
        <v>451</v>
      </c>
      <c r="C386" s="19" t="s">
        <v>1212</v>
      </c>
      <c r="D386" s="19">
        <f>D356</f>
        <v>0.83118087022695419</v>
      </c>
      <c r="E386" s="19">
        <f>E356</f>
        <v>0.55538652389202381</v>
      </c>
      <c r="F386" s="19">
        <f>F356</f>
        <v>2.1765204006536615E-2</v>
      </c>
      <c r="G386" s="19">
        <f>G356</f>
        <v>1.4543285814709574E-2</v>
      </c>
      <c r="H386" s="19"/>
      <c r="I386" s="19">
        <f>SQRT(K386^2+L386^2+M386^2)</f>
        <v>29.042940287483891</v>
      </c>
      <c r="J386" s="19" t="s">
        <v>1219</v>
      </c>
      <c r="K386" s="19">
        <f>K355</f>
        <v>-25.689516860861865</v>
      </c>
      <c r="L386" s="19">
        <f>L355</f>
        <v>1.5199877443008956</v>
      </c>
      <c r="M386" s="19">
        <f>M355</f>
        <v>13.462196747003208</v>
      </c>
      <c r="N386" s="20" t="s">
        <v>34</v>
      </c>
      <c r="O386" s="1">
        <f>O354</f>
        <v>0.98593323051089954</v>
      </c>
      <c r="P386" s="1"/>
    </row>
    <row r="387" spans="2:18" hidden="1" x14ac:dyDescent="0.2">
      <c r="B387" s="20"/>
      <c r="C387" s="19" t="s">
        <v>1213</v>
      </c>
      <c r="D387" s="19">
        <f>D355</f>
        <v>0.99647710222335251</v>
      </c>
      <c r="E387" s="19">
        <f>E355</f>
        <v>8.3865277347363723E-2</v>
      </c>
      <c r="F387" s="19">
        <f>F355</f>
        <v>0</v>
      </c>
      <c r="G387" s="19">
        <f>G355</f>
        <v>0</v>
      </c>
      <c r="H387" s="19"/>
      <c r="I387" s="19">
        <f>SQRT(K387^2+L387^2+M387^2)</f>
        <v>29.042940287483891</v>
      </c>
      <c r="J387" s="19" t="s">
        <v>208</v>
      </c>
      <c r="K387" s="19">
        <f>O386*K386-O387*M386</f>
        <v>-27.578215296953733</v>
      </c>
      <c r="L387" s="19">
        <f>L386</f>
        <v>1.5199877443008956</v>
      </c>
      <c r="M387" s="1">
        <f>O387*K386+O386*M386</f>
        <v>8.9790900894465366</v>
      </c>
      <c r="N387" s="20" t="s">
        <v>35</v>
      </c>
      <c r="O387" s="1">
        <f>O355</f>
        <v>0.16713965709651754</v>
      </c>
      <c r="P387" s="1"/>
    </row>
    <row r="388" spans="2:18" hidden="1" x14ac:dyDescent="0.2">
      <c r="B388" s="20"/>
      <c r="C388" s="19" t="s">
        <v>1218</v>
      </c>
      <c r="D388" s="19">
        <f>D387*D386-E387*E386-F387*F386-G387*G386</f>
        <v>0.78167506012604682</v>
      </c>
      <c r="E388" s="19">
        <f>D387*E386+E387*D386+F387*G386-G387*F386</f>
        <v>0.62313716814923126</v>
      </c>
      <c r="F388" s="19">
        <f>D387*F386-E387*G386+F387*D386+G387*E386</f>
        <v>2.0468850719341108E-2</v>
      </c>
      <c r="G388" s="19">
        <f>D387*G386+E387*F386-F387*E386+G387*D386</f>
        <v>1.6317396175977928E-2</v>
      </c>
      <c r="H388" s="19"/>
      <c r="I388" s="19"/>
      <c r="J388" s="19"/>
      <c r="K388" s="19"/>
      <c r="L388" s="19"/>
    </row>
    <row r="389" spans="2:18" hidden="1" x14ac:dyDescent="0.2">
      <c r="B389" s="20"/>
      <c r="C389" s="19" t="s">
        <v>848</v>
      </c>
      <c r="D389" s="19">
        <f>F388</f>
        <v>2.0468850719341108E-2</v>
      </c>
      <c r="E389" s="19">
        <f>E388</f>
        <v>0.62313716814923126</v>
      </c>
      <c r="F389" s="19">
        <f>G388</f>
        <v>1.6317396175977928E-2</v>
      </c>
      <c r="G389" s="19">
        <f>D388</f>
        <v>0.78167506012604682</v>
      </c>
      <c r="H389" s="19" t="s">
        <v>878</v>
      </c>
      <c r="I389" s="19" t="str">
        <f>CONCATENATE(TEXT(D389,"0.000000")," ",TEXT(E389,"0.000000")," ",TEXT(F389,"0.000000")," ",TEXT(G389,"0.000000"))</f>
        <v>0.020469 0.623137 0.016317 0.781675</v>
      </c>
      <c r="J389" s="19"/>
      <c r="K389" s="19"/>
      <c r="L389" s="19"/>
    </row>
    <row r="390" spans="2:18" hidden="1" x14ac:dyDescent="0.2">
      <c r="B390" s="20" t="s">
        <v>453</v>
      </c>
      <c r="C390" s="19" t="s">
        <v>1212</v>
      </c>
      <c r="D390" s="19">
        <f>D360</f>
        <v>0.83146535073744265</v>
      </c>
      <c r="E390" s="19">
        <f>E360</f>
        <v>0.55557661084954024</v>
      </c>
      <c r="F390" s="19">
        <f>F360</f>
        <v>0</v>
      </c>
      <c r="G390" s="19">
        <f>G360</f>
        <v>0</v>
      </c>
      <c r="H390" s="19"/>
      <c r="J390" s="19"/>
      <c r="K390" s="19"/>
      <c r="L390" s="19"/>
    </row>
    <row r="391" spans="2:18" hidden="1" x14ac:dyDescent="0.2">
      <c r="B391" s="20"/>
      <c r="C391" s="19" t="s">
        <v>1213</v>
      </c>
      <c r="D391" s="19">
        <f>D387</f>
        <v>0.99647710222335251</v>
      </c>
      <c r="E391" s="19">
        <f>E387</f>
        <v>8.3865277347363723E-2</v>
      </c>
      <c r="F391" s="19">
        <f>F387</f>
        <v>0</v>
      </c>
      <c r="G391" s="19">
        <f>G387</f>
        <v>0</v>
      </c>
      <c r="H391" s="19"/>
      <c r="J391" s="19"/>
      <c r="K391" s="19"/>
      <c r="L391" s="19"/>
    </row>
    <row r="392" spans="2:18" hidden="1" x14ac:dyDescent="0.2">
      <c r="B392" s="20"/>
      <c r="C392" s="19" t="s">
        <v>1218</v>
      </c>
      <c r="D392" s="19">
        <f>D391*D390-E391*E390-F391*F390-G391*G390</f>
        <v>0.78194259674536526</v>
      </c>
      <c r="E392" s="19">
        <f>D391*E390+E391*D390+F391*G390-G391*F390</f>
        <v>0.62335044348673962</v>
      </c>
      <c r="F392" s="19">
        <f>D391*F390-E391*G390+F391*D390+G391*E390</f>
        <v>0</v>
      </c>
      <c r="G392" s="19">
        <f>D391*G390+E391*F390-F391*E390+G391*D390</f>
        <v>0</v>
      </c>
      <c r="H392" s="19"/>
      <c r="I392" s="19"/>
      <c r="J392" s="19"/>
      <c r="K392" s="19"/>
      <c r="L392" s="19"/>
    </row>
    <row r="393" spans="2:18" hidden="1" x14ac:dyDescent="0.2">
      <c r="B393" s="20"/>
      <c r="C393" s="19" t="s">
        <v>848</v>
      </c>
      <c r="D393" s="19">
        <f>F392</f>
        <v>0</v>
      </c>
      <c r="E393" s="19">
        <f>E392</f>
        <v>0.62335044348673962</v>
      </c>
      <c r="F393" s="19">
        <f>G392</f>
        <v>0</v>
      </c>
      <c r="G393" s="19">
        <f>D392</f>
        <v>0.78194259674536526</v>
      </c>
      <c r="H393" s="19" t="s">
        <v>878</v>
      </c>
      <c r="I393" s="19" t="str">
        <f>CONCATENATE(TEXT(D393,"0.000000")," ",TEXT(E393,"0.000000")," ",TEXT(F393,"0.000000")," ",TEXT(G393,"0.000000"))</f>
        <v>0.000000 0.623350 0.000000 0.781943</v>
      </c>
      <c r="J393" s="19"/>
      <c r="K393" s="19"/>
      <c r="L393" s="19"/>
    </row>
    <row r="394" spans="2:18" hidden="1" x14ac:dyDescent="0.2">
      <c r="B394" s="20" t="s">
        <v>828</v>
      </c>
      <c r="C394" s="19" t="s">
        <v>1212</v>
      </c>
      <c r="D394" s="19">
        <f>D364</f>
        <v>0.98045068671715019</v>
      </c>
      <c r="E394" s="19">
        <f>E364</f>
        <v>-0.19501594902805697</v>
      </c>
      <c r="F394" s="19">
        <f>F364</f>
        <v>5.1066645820551024E-3</v>
      </c>
      <c r="G394" s="19">
        <f>G364</f>
        <v>2.5673965751333232E-2</v>
      </c>
      <c r="H394" s="19"/>
      <c r="I394" s="19"/>
      <c r="J394" s="19"/>
      <c r="K394" s="19"/>
      <c r="L394" s="19"/>
      <c r="M394" s="19"/>
    </row>
    <row r="395" spans="2:18" hidden="1" x14ac:dyDescent="0.2">
      <c r="C395" s="19" t="s">
        <v>1213</v>
      </c>
      <c r="D395" s="19">
        <f>D387</f>
        <v>0.99647710222335251</v>
      </c>
      <c r="E395" s="19">
        <f>E387</f>
        <v>8.3865277347363723E-2</v>
      </c>
      <c r="F395" s="19">
        <f>F387</f>
        <v>0</v>
      </c>
      <c r="G395" s="19">
        <f>G387</f>
        <v>0</v>
      </c>
      <c r="H395" s="19"/>
      <c r="I395" s="19"/>
      <c r="J395" s="19"/>
      <c r="K395" s="19"/>
      <c r="L395" s="19"/>
      <c r="M395" s="19"/>
    </row>
    <row r="396" spans="2:18" hidden="1" x14ac:dyDescent="0.2">
      <c r="C396" s="19" t="s">
        <v>1218</v>
      </c>
      <c r="D396" s="19">
        <f>D395*D394-E395*E394-F395*F394-G395*G394</f>
        <v>0.99335172582519926</v>
      </c>
      <c r="E396" s="19">
        <f>D395*E394+E395*D394+F395*G394-G395*F394</f>
        <v>-0.1121031590078682</v>
      </c>
      <c r="F396" s="19">
        <f>D395*F394-E395*G394+F395*D394+G395*E394</f>
        <v>2.9355200664106171E-3</v>
      </c>
      <c r="G396" s="19">
        <f>D395*G394+E395*F394-F395*E394+G395*D394</f>
        <v>2.6011790835964149E-2</v>
      </c>
      <c r="H396" s="19"/>
      <c r="I396" s="19"/>
      <c r="J396" s="19"/>
      <c r="K396" s="19"/>
      <c r="L396" s="19"/>
    </row>
    <row r="397" spans="2:18" hidden="1" x14ac:dyDescent="0.2">
      <c r="C397" s="19" t="s">
        <v>848</v>
      </c>
      <c r="D397" s="19">
        <f>F396</f>
        <v>2.9355200664106171E-3</v>
      </c>
      <c r="E397" s="19">
        <f>E396</f>
        <v>-0.1121031590078682</v>
      </c>
      <c r="F397" s="19">
        <f>G396</f>
        <v>2.6011790835964149E-2</v>
      </c>
      <c r="G397" s="19">
        <f>D396</f>
        <v>0.99335172582519926</v>
      </c>
      <c r="H397" s="19" t="s">
        <v>878</v>
      </c>
      <c r="I397" s="19" t="str">
        <f>CONCATENATE(TEXT(D397,"0.000000")," ",TEXT(E397,"0.000000")," ",TEXT(F397,"0.000000")," ",TEXT(G397,"0.000000"))</f>
        <v>0.002936 -0.112103 0.026012 0.993352</v>
      </c>
      <c r="J397" s="19"/>
      <c r="K397" s="19"/>
      <c r="L397" s="19"/>
      <c r="N397" s="1" t="s">
        <v>14</v>
      </c>
      <c r="O397" s="1" t="s">
        <v>15</v>
      </c>
      <c r="P397" s="1" t="s">
        <v>16</v>
      </c>
      <c r="Q397" s="1" t="s">
        <v>17</v>
      </c>
      <c r="R397" s="1" t="s">
        <v>18</v>
      </c>
    </row>
    <row r="398" spans="2:18" hidden="1" x14ac:dyDescent="0.2">
      <c r="B398" s="20" t="s">
        <v>829</v>
      </c>
      <c r="C398" s="19" t="s">
        <v>848</v>
      </c>
      <c r="D398" s="1">
        <f>-F397</f>
        <v>-2.6011790835964149E-2</v>
      </c>
      <c r="E398" s="1">
        <f>-G397</f>
        <v>-0.99335172582519926</v>
      </c>
      <c r="F398" s="1">
        <f>D397</f>
        <v>2.9355200664106171E-3</v>
      </c>
      <c r="G398" s="1">
        <f>E397</f>
        <v>-0.1121031590078682</v>
      </c>
      <c r="H398" s="19" t="s">
        <v>878</v>
      </c>
      <c r="I398" s="19" t="str">
        <f>CONCATENATE(TEXT(D398,"0.000000")," ",TEXT(E398,"0.000000")," ",TEXT(F398,"0.000000")," ",TEXT(G398,"0.000000"))</f>
        <v>-0.026012 -0.993352 0.002936 -0.112103</v>
      </c>
      <c r="J398" s="19"/>
      <c r="K398" s="19"/>
      <c r="L398" s="19"/>
      <c r="N398" s="1">
        <f>IF(ABS(N366+K387)&lt;=1024,N366+K387,IF(N366+K387&gt;1024,N366+K387-2048,N366+K387+2048))</f>
        <v>-133.37531168351123</v>
      </c>
      <c r="O398" s="1">
        <f>O366+L387</f>
        <v>13.105210905129795</v>
      </c>
      <c r="P398" s="1">
        <f>IF(ABS(P366+M387)&lt;=1024,P366+M387,IF(P366+M387&gt;1024,P366+M387-2048,P366+M387+2048))</f>
        <v>935.73246029610652</v>
      </c>
      <c r="Q398" s="1">
        <f>IF(ABS(N366+K387)&lt;=1024,Q366,IF(N366+K387&gt;1024,Q366+1,Q366-1))</f>
        <v>-5769</v>
      </c>
      <c r="R398" s="1">
        <f>IF(ABS(P366+M387)&lt;=1024,R366,IF(P366+M387&gt;1024,R366+1,R366-1))</f>
        <v>14677</v>
      </c>
    </row>
    <row r="399" spans="2:18" hidden="1" x14ac:dyDescent="0.2">
      <c r="B399" s="20" t="s">
        <v>830</v>
      </c>
      <c r="C399" s="19" t="s">
        <v>1212</v>
      </c>
      <c r="D399" s="19">
        <f>D369</f>
        <v>0.98078677682844628</v>
      </c>
      <c r="E399" s="19">
        <f>E369</f>
        <v>-0.19508279882774729</v>
      </c>
      <c r="F399" s="19">
        <f>F369</f>
        <v>0</v>
      </c>
      <c r="G399" s="19">
        <f>G369</f>
        <v>0</v>
      </c>
      <c r="H399" s="19"/>
      <c r="I399" s="19"/>
      <c r="J399" s="19"/>
      <c r="K399" s="19"/>
      <c r="L399" s="19"/>
      <c r="N399" s="1"/>
      <c r="O399" s="1"/>
      <c r="P399" s="1"/>
      <c r="Q399" s="1"/>
      <c r="R399" s="1"/>
    </row>
    <row r="400" spans="2:18" hidden="1" x14ac:dyDescent="0.2">
      <c r="B400" s="20"/>
      <c r="C400" s="19" t="s">
        <v>1213</v>
      </c>
      <c r="D400" s="19">
        <f>D395</f>
        <v>0.99647710222335251</v>
      </c>
      <c r="E400" s="19">
        <f>E395</f>
        <v>8.3865277347363723E-2</v>
      </c>
      <c r="F400" s="19">
        <f>F395</f>
        <v>0</v>
      </c>
      <c r="G400" s="19">
        <f>G395</f>
        <v>0</v>
      </c>
      <c r="H400" s="19"/>
      <c r="I400" s="19"/>
      <c r="J400" s="19"/>
      <c r="K400" s="19"/>
      <c r="L400" s="19"/>
      <c r="N400" s="1"/>
      <c r="O400" s="1"/>
      <c r="P400" s="1"/>
      <c r="Q400" s="1"/>
      <c r="R400" s="1"/>
    </row>
    <row r="401" spans="1:20" hidden="1" x14ac:dyDescent="0.2">
      <c r="B401" s="20"/>
      <c r="C401" s="19" t="s">
        <v>1218</v>
      </c>
      <c r="D401" s="19">
        <f>D400*D399-E400*E399-F400*F399-G400*G399</f>
        <v>0.99369223830238118</v>
      </c>
      <c r="E401" s="19">
        <f>D400*E399+E400*D399+F400*G399-G400*F399</f>
        <v>-0.11214158701215028</v>
      </c>
      <c r="F401" s="19">
        <f>D400*F399-E400*G399+F400*D399+G400*E399</f>
        <v>0</v>
      </c>
      <c r="G401" s="19">
        <f>D400*G399+E400*F399-F400*E399+G400*D399</f>
        <v>0</v>
      </c>
      <c r="H401" s="19"/>
      <c r="I401" s="19"/>
      <c r="J401" s="19"/>
      <c r="K401" s="19"/>
      <c r="L401" s="19"/>
      <c r="N401" s="1"/>
      <c r="O401" s="1"/>
      <c r="P401" s="1"/>
      <c r="Q401" s="1"/>
      <c r="R401" s="1"/>
    </row>
    <row r="402" spans="1:20" hidden="1" x14ac:dyDescent="0.2">
      <c r="B402" s="20"/>
      <c r="C402" s="19" t="s">
        <v>848</v>
      </c>
      <c r="D402" s="19">
        <f>F401</f>
        <v>0</v>
      </c>
      <c r="E402" s="19">
        <f>E401</f>
        <v>-0.11214158701215028</v>
      </c>
      <c r="F402" s="19">
        <f>G401</f>
        <v>0</v>
      </c>
      <c r="G402" s="19">
        <f>D401</f>
        <v>0.99369223830238118</v>
      </c>
      <c r="H402" s="19" t="s">
        <v>878</v>
      </c>
      <c r="I402" s="19" t="str">
        <f>CONCATENATE(TEXT(D402,"0.000000")," ",TEXT(E402,"0.000000")," ",TEXT(F402,"0.000000")," ",TEXT(G402,"0.000000"))</f>
        <v>0.000000 -0.112142 0.000000 0.993692</v>
      </c>
      <c r="J402" s="19"/>
      <c r="K402" s="19"/>
      <c r="L402" s="19"/>
      <c r="N402" s="1"/>
      <c r="O402" s="1"/>
      <c r="P402" s="1"/>
      <c r="Q402" s="1"/>
      <c r="R402" s="1"/>
    </row>
    <row r="403" spans="1:20" hidden="1" x14ac:dyDescent="0.2">
      <c r="B403" s="20" t="s">
        <v>831</v>
      </c>
      <c r="C403" s="19" t="s">
        <v>848</v>
      </c>
      <c r="D403" s="1">
        <f>-F402</f>
        <v>0</v>
      </c>
      <c r="E403" s="1">
        <f>-G402</f>
        <v>-0.99369223830238118</v>
      </c>
      <c r="F403" s="1">
        <f>D402</f>
        <v>0</v>
      </c>
      <c r="G403" s="1">
        <f>E402</f>
        <v>-0.11214158701215028</v>
      </c>
      <c r="H403" s="19" t="s">
        <v>878</v>
      </c>
      <c r="I403" s="19" t="str">
        <f>CONCATENATE(TEXT(D403,"0.000000")," ",TEXT(E403,"0.000000")," ",TEXT(F403,"0.000000")," ",TEXT(G403,"0.000000"))</f>
        <v>0.000000 -0.993692 0.000000 -0.112142</v>
      </c>
      <c r="J403" s="19"/>
      <c r="K403" s="19"/>
      <c r="L403" s="19"/>
      <c r="N403" s="1"/>
      <c r="O403" s="1"/>
      <c r="P403" s="1"/>
      <c r="Q403" s="1"/>
      <c r="R403" s="1"/>
    </row>
    <row r="404" spans="1:20" x14ac:dyDescent="0.2">
      <c r="C404" s="41"/>
      <c r="L404" s="59"/>
      <c r="T404" s="59"/>
    </row>
    <row r="405" spans="1:20" x14ac:dyDescent="0.2">
      <c r="A405" s="25" t="s">
        <v>1230</v>
      </c>
      <c r="H405" s="1"/>
      <c r="I405" s="1"/>
      <c r="J405" s="1"/>
      <c r="K405" s="1"/>
      <c r="L405" s="1"/>
      <c r="N405" s="1"/>
      <c r="O405" s="1"/>
      <c r="P405" s="1"/>
      <c r="Q405" s="1"/>
      <c r="R405" s="1"/>
    </row>
    <row r="406" spans="1:20" x14ac:dyDescent="0.2">
      <c r="C406" s="26" t="str">
        <f>T(IF(ABS(C407-C375)+ABS(E407-E375)&lt;&gt;0,"WARNING:  TILE CHANGE -&gt; other world tile file!",""))</f>
        <v/>
      </c>
      <c r="H406" s="1"/>
      <c r="I406" s="1"/>
      <c r="J406" s="1"/>
      <c r="K406" s="1"/>
      <c r="L406" s="1"/>
      <c r="N406" s="1"/>
      <c r="O406" s="1"/>
      <c r="P406" s="1"/>
      <c r="Q406" s="1"/>
      <c r="R406" s="1"/>
    </row>
    <row r="407" spans="1:20" x14ac:dyDescent="0.2">
      <c r="B407" s="88" t="s">
        <v>28</v>
      </c>
      <c r="C407" s="71">
        <f>Q398</f>
        <v>-5769</v>
      </c>
      <c r="D407" t="s">
        <v>27</v>
      </c>
      <c r="E407" s="71">
        <f>R398</f>
        <v>14677</v>
      </c>
      <c r="F407" t="s">
        <v>32</v>
      </c>
    </row>
    <row r="408" spans="1:20" x14ac:dyDescent="0.2">
      <c r="B408" s="88" t="s">
        <v>26</v>
      </c>
      <c r="C408" s="73" t="str">
        <f>CONCATENATE(TEXT(N398,"0.000")," ",TEXT(O398,"0.000")," ",TEXT(P398,"0.000"))</f>
        <v>-133.375 13.105 935.732</v>
      </c>
    </row>
    <row r="409" spans="1:20" x14ac:dyDescent="0.2">
      <c r="B409" s="88" t="s">
        <v>360</v>
      </c>
      <c r="C409" s="74" t="str">
        <f>I389</f>
        <v>0.020469 0.623137 0.016317 0.781675</v>
      </c>
    </row>
    <row r="410" spans="1:20" x14ac:dyDescent="0.2">
      <c r="B410" s="88" t="s">
        <v>453</v>
      </c>
      <c r="C410" s="74" t="str">
        <f>I393</f>
        <v>0.000000 0.623350 0.000000 0.781943</v>
      </c>
    </row>
    <row r="411" spans="1:20" x14ac:dyDescent="0.2">
      <c r="B411" s="88" t="s">
        <v>828</v>
      </c>
      <c r="C411" s="74" t="str">
        <f>I397</f>
        <v>0.002936 -0.112103 0.026012 0.993352</v>
      </c>
    </row>
    <row r="412" spans="1:20" x14ac:dyDescent="0.2">
      <c r="B412" s="88" t="s">
        <v>829</v>
      </c>
      <c r="C412" s="74" t="str">
        <f>I398</f>
        <v>-0.026012 -0.993352 0.002936 -0.112103</v>
      </c>
    </row>
    <row r="413" spans="1:20" x14ac:dyDescent="0.2">
      <c r="B413" s="88" t="s">
        <v>830</v>
      </c>
      <c r="C413" s="74" t="str">
        <f>I402</f>
        <v>0.000000 -0.112142 0.000000 0.993692</v>
      </c>
    </row>
    <row r="414" spans="1:20" x14ac:dyDescent="0.2">
      <c r="B414" s="88" t="s">
        <v>831</v>
      </c>
      <c r="C414" s="74" t="str">
        <f>I403</f>
        <v>0.000000 -0.993692 0.000000 -0.112142</v>
      </c>
    </row>
    <row r="415" spans="1:20" x14ac:dyDescent="0.2">
      <c r="C415" s="12" t="s">
        <v>456</v>
      </c>
      <c r="L415" s="59"/>
      <c r="T415" s="59"/>
    </row>
    <row r="416" spans="1:20" hidden="1" x14ac:dyDescent="0.2">
      <c r="C416" s="12"/>
    </row>
    <row r="417" spans="2:18" hidden="1" x14ac:dyDescent="0.2">
      <c r="D417" s="1" t="s">
        <v>1214</v>
      </c>
      <c r="E417" s="1" t="s">
        <v>1215</v>
      </c>
      <c r="F417" s="1" t="s">
        <v>1216</v>
      </c>
      <c r="G417" s="1" t="s">
        <v>1217</v>
      </c>
      <c r="I417" s="53" t="s">
        <v>1221</v>
      </c>
      <c r="K417" s="1" t="s">
        <v>40</v>
      </c>
      <c r="L417" s="1" t="s">
        <v>41</v>
      </c>
      <c r="M417" s="1" t="s">
        <v>42</v>
      </c>
      <c r="N417" s="1"/>
      <c r="O417" s="1" t="s">
        <v>207</v>
      </c>
      <c r="P417" s="53"/>
    </row>
    <row r="418" spans="2:18" hidden="1" x14ac:dyDescent="0.2">
      <c r="B418" s="20" t="s">
        <v>451</v>
      </c>
      <c r="C418" s="19" t="s">
        <v>1212</v>
      </c>
      <c r="D418" s="19">
        <f>D388</f>
        <v>0.78167506012604682</v>
      </c>
      <c r="E418" s="19">
        <f>E388</f>
        <v>0.62313716814923126</v>
      </c>
      <c r="F418" s="19">
        <f>F388</f>
        <v>2.0468850719341108E-2</v>
      </c>
      <c r="G418" s="19">
        <f>G388</f>
        <v>1.6317396175977928E-2</v>
      </c>
      <c r="H418" s="19"/>
      <c r="I418" s="19">
        <f>SQRT(K418^2+L418^2+M418^2)</f>
        <v>29.042940287483891</v>
      </c>
      <c r="J418" s="19" t="s">
        <v>1219</v>
      </c>
      <c r="K418" s="19">
        <f>K387</f>
        <v>-27.578215296953733</v>
      </c>
      <c r="L418" s="19">
        <f>L387</f>
        <v>1.5199877443008956</v>
      </c>
      <c r="M418" s="19">
        <f>M387</f>
        <v>8.9790900894465366</v>
      </c>
      <c r="N418" s="20" t="s">
        <v>34</v>
      </c>
      <c r="O418" s="1">
        <f>O386</f>
        <v>0.98593323051089954</v>
      </c>
      <c r="P418" s="1"/>
    </row>
    <row r="419" spans="2:18" hidden="1" x14ac:dyDescent="0.2">
      <c r="B419" s="20"/>
      <c r="C419" s="19" t="s">
        <v>1213</v>
      </c>
      <c r="D419" s="19">
        <f>D387</f>
        <v>0.99647710222335251</v>
      </c>
      <c r="E419" s="19">
        <f>E387</f>
        <v>8.3865277347363723E-2</v>
      </c>
      <c r="F419" s="19">
        <f>F387</f>
        <v>0</v>
      </c>
      <c r="G419" s="19">
        <f>G387</f>
        <v>0</v>
      </c>
      <c r="H419" s="19"/>
      <c r="I419" s="19">
        <f>SQRT(K419^2+L419^2+M419^2)</f>
        <v>29.042940287483891</v>
      </c>
      <c r="J419" s="19" t="s">
        <v>208</v>
      </c>
      <c r="K419" s="19">
        <f>O418*K418-O419*M418</f>
        <v>-28.691040938039531</v>
      </c>
      <c r="L419" s="19">
        <f>L418</f>
        <v>1.5199877443008956</v>
      </c>
      <c r="M419" s="1">
        <f>O419*K418+O418*M418</f>
        <v>4.2433698508696445</v>
      </c>
      <c r="N419" s="20" t="s">
        <v>35</v>
      </c>
      <c r="O419" s="1">
        <f>O387</f>
        <v>0.16713965709651754</v>
      </c>
      <c r="P419" s="1"/>
    </row>
    <row r="420" spans="2:18" hidden="1" x14ac:dyDescent="0.2">
      <c r="B420" s="20"/>
      <c r="C420" s="19" t="s">
        <v>1218</v>
      </c>
      <c r="D420" s="19">
        <f>D419*D418-E419*E418-F419*F418-G419*G418</f>
        <v>0.72666172736238188</v>
      </c>
      <c r="E420" s="19">
        <f>D419*E418+E419*D418+F419*G418-G419*F418</f>
        <v>0.68649731531800007</v>
      </c>
      <c r="F420" s="19">
        <f>D419*F418-E419*G418+F419*D418+G419*E418</f>
        <v>1.9028278094766211E-2</v>
      </c>
      <c r="G420" s="19">
        <f>D419*G418+E419*F418-F419*E418+G419*D418</f>
        <v>1.7976537499828225E-2</v>
      </c>
      <c r="H420" s="19"/>
      <c r="I420" s="19"/>
      <c r="J420" s="19"/>
      <c r="K420" s="19"/>
      <c r="L420" s="19"/>
    </row>
    <row r="421" spans="2:18" hidden="1" x14ac:dyDescent="0.2">
      <c r="B421" s="20"/>
      <c r="C421" s="19" t="s">
        <v>848</v>
      </c>
      <c r="D421" s="19">
        <f>F420</f>
        <v>1.9028278094766211E-2</v>
      </c>
      <c r="E421" s="19">
        <f>E420</f>
        <v>0.68649731531800007</v>
      </c>
      <c r="F421" s="19">
        <f>G420</f>
        <v>1.7976537499828225E-2</v>
      </c>
      <c r="G421" s="19">
        <f>D420</f>
        <v>0.72666172736238188</v>
      </c>
      <c r="H421" s="19" t="s">
        <v>878</v>
      </c>
      <c r="I421" s="19" t="str">
        <f>CONCATENATE(TEXT(D421,"0.000000")," ",TEXT(E421,"0.000000")," ",TEXT(F421,"0.000000")," ",TEXT(G421,"0.000000"))</f>
        <v>0.019028 0.686497 0.017977 0.726662</v>
      </c>
      <c r="J421" s="19"/>
      <c r="K421" s="19"/>
      <c r="L421" s="19"/>
    </row>
    <row r="422" spans="2:18" hidden="1" x14ac:dyDescent="0.2">
      <c r="B422" s="20" t="s">
        <v>453</v>
      </c>
      <c r="C422" s="19" t="s">
        <v>1212</v>
      </c>
      <c r="D422" s="19">
        <f>D392</f>
        <v>0.78194259674536526</v>
      </c>
      <c r="E422" s="19">
        <f>E392</f>
        <v>0.62335044348673962</v>
      </c>
      <c r="F422" s="19">
        <f>F392</f>
        <v>0</v>
      </c>
      <c r="G422" s="19">
        <f>G392</f>
        <v>0</v>
      </c>
      <c r="H422" s="19"/>
      <c r="J422" s="19"/>
      <c r="K422" s="19"/>
      <c r="L422" s="19"/>
    </row>
    <row r="423" spans="2:18" hidden="1" x14ac:dyDescent="0.2">
      <c r="B423" s="20"/>
      <c r="C423" s="19" t="s">
        <v>1213</v>
      </c>
      <c r="D423" s="19">
        <f>D419</f>
        <v>0.99647710222335251</v>
      </c>
      <c r="E423" s="19">
        <f>E419</f>
        <v>8.3865277347363723E-2</v>
      </c>
      <c r="F423" s="19">
        <f>F419</f>
        <v>0</v>
      </c>
      <c r="G423" s="19">
        <f>G419</f>
        <v>0</v>
      </c>
      <c r="H423" s="19"/>
      <c r="J423" s="19"/>
      <c r="K423" s="19"/>
      <c r="L423" s="19"/>
    </row>
    <row r="424" spans="2:18" hidden="1" x14ac:dyDescent="0.2">
      <c r="B424" s="20"/>
      <c r="C424" s="19" t="s">
        <v>1218</v>
      </c>
      <c r="D424" s="19">
        <f>D423*D422-E423*E422-F423*F422-G423*G422</f>
        <v>0.72691043508220743</v>
      </c>
      <c r="E424" s="19">
        <f>D423*E422+E423*D422+F423*G422-G423*F422</f>
        <v>0.68673227634107581</v>
      </c>
      <c r="F424" s="19">
        <f>D423*F422-E423*G422+F423*D422+G423*E422</f>
        <v>0</v>
      </c>
      <c r="G424" s="19">
        <f>D423*G422+E423*F422-F423*E422+G423*D422</f>
        <v>0</v>
      </c>
      <c r="H424" s="19"/>
      <c r="I424" s="19"/>
      <c r="J424" s="19"/>
      <c r="K424" s="19"/>
      <c r="L424" s="19"/>
    </row>
    <row r="425" spans="2:18" hidden="1" x14ac:dyDescent="0.2">
      <c r="B425" s="20"/>
      <c r="C425" s="19" t="s">
        <v>848</v>
      </c>
      <c r="D425" s="19">
        <f>F424</f>
        <v>0</v>
      </c>
      <c r="E425" s="19">
        <f>E424</f>
        <v>0.68673227634107581</v>
      </c>
      <c r="F425" s="19">
        <f>G424</f>
        <v>0</v>
      </c>
      <c r="G425" s="19">
        <f>D424</f>
        <v>0.72691043508220743</v>
      </c>
      <c r="H425" s="19" t="s">
        <v>878</v>
      </c>
      <c r="I425" s="19" t="str">
        <f>CONCATENATE(TEXT(D425,"0.000000")," ",TEXT(E425,"0.000000")," ",TEXT(F425,"0.000000")," ",TEXT(G425,"0.000000"))</f>
        <v>0.000000 0.686732 0.000000 0.726910</v>
      </c>
      <c r="J425" s="19"/>
      <c r="K425" s="19"/>
      <c r="L425" s="19"/>
    </row>
    <row r="426" spans="2:18" hidden="1" x14ac:dyDescent="0.2">
      <c r="B426" s="20" t="s">
        <v>828</v>
      </c>
      <c r="C426" s="19" t="s">
        <v>1212</v>
      </c>
      <c r="D426" s="19">
        <f>D396</f>
        <v>0.99335172582519926</v>
      </c>
      <c r="E426" s="19">
        <f>E396</f>
        <v>-0.1121031590078682</v>
      </c>
      <c r="F426" s="19">
        <f>F396</f>
        <v>2.9355200664106171E-3</v>
      </c>
      <c r="G426" s="19">
        <f>G396</f>
        <v>2.6011790835964149E-2</v>
      </c>
      <c r="H426" s="19"/>
      <c r="I426" s="19"/>
      <c r="J426" s="19"/>
      <c r="K426" s="19"/>
      <c r="L426" s="19"/>
      <c r="M426" s="19"/>
    </row>
    <row r="427" spans="2:18" hidden="1" x14ac:dyDescent="0.2">
      <c r="C427" s="19" t="s">
        <v>1213</v>
      </c>
      <c r="D427" s="19">
        <f>D419</f>
        <v>0.99647710222335251</v>
      </c>
      <c r="E427" s="19">
        <f>E419</f>
        <v>8.3865277347363723E-2</v>
      </c>
      <c r="F427" s="19">
        <f>F419</f>
        <v>0</v>
      </c>
      <c r="G427" s="19">
        <f>G419</f>
        <v>0</v>
      </c>
      <c r="H427" s="19"/>
      <c r="I427" s="19"/>
      <c r="J427" s="19"/>
      <c r="K427" s="19"/>
      <c r="L427" s="19"/>
      <c r="M427" s="19"/>
    </row>
    <row r="428" spans="2:18" hidden="1" x14ac:dyDescent="0.2">
      <c r="C428" s="19" t="s">
        <v>1218</v>
      </c>
      <c r="D428" s="19">
        <f>D427*D426-E427*E426-F427*F426-G427*G426</f>
        <v>0.99925381176057115</v>
      </c>
      <c r="E428" s="19">
        <f>D427*E426+E427*D426+F427*G426-G427*F426</f>
        <v>-2.8400513048431469E-2</v>
      </c>
      <c r="F428" s="19">
        <f>D427*F426-E427*G426+F427*D426+G427*E426</f>
        <v>7.4369247653560764E-4</v>
      </c>
      <c r="G428" s="19">
        <f>D427*G426+E427*F426-F427*E426+G427*D426</f>
        <v>2.6166342160389787E-2</v>
      </c>
      <c r="H428" s="19"/>
      <c r="I428" s="19"/>
      <c r="J428" s="19"/>
      <c r="K428" s="19"/>
      <c r="L428" s="19"/>
    </row>
    <row r="429" spans="2:18" hidden="1" x14ac:dyDescent="0.2">
      <c r="C429" s="19" t="s">
        <v>848</v>
      </c>
      <c r="D429" s="19">
        <f>F428</f>
        <v>7.4369247653560764E-4</v>
      </c>
      <c r="E429" s="19">
        <f>E428</f>
        <v>-2.8400513048431469E-2</v>
      </c>
      <c r="F429" s="19">
        <f>G428</f>
        <v>2.6166342160389787E-2</v>
      </c>
      <c r="G429" s="19">
        <f>D428</f>
        <v>0.99925381176057115</v>
      </c>
      <c r="H429" s="19" t="s">
        <v>878</v>
      </c>
      <c r="I429" s="19" t="str">
        <f>CONCATENATE(TEXT(D429,"0.000000")," ",TEXT(E429,"0.000000")," ",TEXT(F429,"0.000000")," ",TEXT(G429,"0.000000"))</f>
        <v>0.000744 -0.028401 0.026166 0.999254</v>
      </c>
      <c r="J429" s="19"/>
      <c r="K429" s="19"/>
      <c r="L429" s="19"/>
      <c r="N429" s="1" t="s">
        <v>14</v>
      </c>
      <c r="O429" s="1" t="s">
        <v>15</v>
      </c>
      <c r="P429" s="1" t="s">
        <v>16</v>
      </c>
      <c r="Q429" s="1" t="s">
        <v>17</v>
      </c>
      <c r="R429" s="1" t="s">
        <v>18</v>
      </c>
    </row>
    <row r="430" spans="2:18" hidden="1" x14ac:dyDescent="0.2">
      <c r="B430" s="20" t="s">
        <v>829</v>
      </c>
      <c r="C430" s="19" t="s">
        <v>848</v>
      </c>
      <c r="D430" s="1">
        <f>-F429</f>
        <v>-2.6166342160389787E-2</v>
      </c>
      <c r="E430" s="1">
        <f>-G429</f>
        <v>-0.99925381176057115</v>
      </c>
      <c r="F430" s="1">
        <f>D429</f>
        <v>7.4369247653560764E-4</v>
      </c>
      <c r="G430" s="1">
        <f>E429</f>
        <v>-2.8400513048431469E-2</v>
      </c>
      <c r="H430" s="19" t="s">
        <v>878</v>
      </c>
      <c r="I430" s="19" t="str">
        <f>CONCATENATE(TEXT(D430,"0.000000")," ",TEXT(E430,"0.000000")," ",TEXT(F430,"0.000000")," ",TEXT(G430,"0.000000"))</f>
        <v>-0.026166 -0.999254 0.000744 -0.028401</v>
      </c>
      <c r="J430" s="19"/>
      <c r="K430" s="19"/>
      <c r="L430" s="19"/>
      <c r="N430" s="1">
        <f>IF(ABS(N398+K419)&lt;=1024,N398+K419,IF(N398+K419&gt;1024,N398+K419-2048,N398+K419+2048))</f>
        <v>-162.06635262155075</v>
      </c>
      <c r="O430" s="1">
        <f>O398+L419</f>
        <v>14.62519864943069</v>
      </c>
      <c r="P430" s="1">
        <f>IF(ABS(P398+M419)&lt;=1024,P398+M419,IF(P398+M419&gt;1024,P398+M419-2048,P398+M419+2048))</f>
        <v>939.97583014697614</v>
      </c>
      <c r="Q430" s="1">
        <f>IF(ABS(N398+K419)&lt;=1024,Q398,IF(N398+K419&gt;1024,Q398+1,Q398-1))</f>
        <v>-5769</v>
      </c>
      <c r="R430" s="1">
        <f>IF(ABS(P398+M419)&lt;=1024,R398,IF(P398+M419&gt;1024,R398+1,R398-1))</f>
        <v>14677</v>
      </c>
    </row>
    <row r="431" spans="2:18" hidden="1" x14ac:dyDescent="0.2">
      <c r="B431" s="20" t="s">
        <v>830</v>
      </c>
      <c r="C431" s="19" t="s">
        <v>1212</v>
      </c>
      <c r="D431" s="19">
        <f>D401</f>
        <v>0.99369223830238118</v>
      </c>
      <c r="E431" s="19">
        <f>E401</f>
        <v>-0.11214158701215028</v>
      </c>
      <c r="F431" s="19">
        <f>F401</f>
        <v>0</v>
      </c>
      <c r="G431" s="19">
        <f>G401</f>
        <v>0</v>
      </c>
      <c r="H431" s="19"/>
      <c r="I431" s="19"/>
      <c r="J431" s="19"/>
      <c r="K431" s="19"/>
      <c r="L431" s="19"/>
      <c r="N431" s="1"/>
      <c r="O431" s="1"/>
      <c r="P431" s="1"/>
      <c r="Q431" s="1"/>
      <c r="R431" s="1"/>
    </row>
    <row r="432" spans="2:18" hidden="1" x14ac:dyDescent="0.2">
      <c r="B432" s="20"/>
      <c r="C432" s="19" t="s">
        <v>1213</v>
      </c>
      <c r="D432" s="19">
        <f>D427</f>
        <v>0.99647710222335251</v>
      </c>
      <c r="E432" s="19">
        <f>E427</f>
        <v>8.3865277347363723E-2</v>
      </c>
      <c r="F432" s="19">
        <f>F427</f>
        <v>0</v>
      </c>
      <c r="G432" s="19">
        <f>G427</f>
        <v>0</v>
      </c>
      <c r="H432" s="19"/>
      <c r="I432" s="19"/>
      <c r="J432" s="19"/>
      <c r="K432" s="19"/>
      <c r="L432" s="19"/>
      <c r="N432" s="1"/>
      <c r="O432" s="1"/>
      <c r="P432" s="1"/>
      <c r="Q432" s="1"/>
      <c r="R432" s="1"/>
    </row>
    <row r="433" spans="1:20" hidden="1" x14ac:dyDescent="0.2">
      <c r="B433" s="20"/>
      <c r="C433" s="19" t="s">
        <v>1218</v>
      </c>
      <c r="D433" s="19">
        <f>D432*D431-E432*E431-F432*F431-G432*G431</f>
        <v>0.99959634742234138</v>
      </c>
      <c r="E433" s="19">
        <f>D432*E431+E432*D431+F432*G431-G432*F431</f>
        <v>-2.8410248501443622E-2</v>
      </c>
      <c r="F433" s="19">
        <f>D432*F431-E432*G431+F432*D431+G432*E431</f>
        <v>0</v>
      </c>
      <c r="G433" s="19">
        <f>D432*G431+E432*F431-F432*E431+G432*D431</f>
        <v>0</v>
      </c>
      <c r="H433" s="19"/>
      <c r="I433" s="19"/>
      <c r="J433" s="19"/>
      <c r="K433" s="19"/>
      <c r="L433" s="19"/>
      <c r="N433" s="1"/>
      <c r="O433" s="1"/>
      <c r="P433" s="1"/>
      <c r="Q433" s="1"/>
      <c r="R433" s="1"/>
    </row>
    <row r="434" spans="1:20" hidden="1" x14ac:dyDescent="0.2">
      <c r="B434" s="20"/>
      <c r="C434" s="19" t="s">
        <v>848</v>
      </c>
      <c r="D434" s="19">
        <f>F433</f>
        <v>0</v>
      </c>
      <c r="E434" s="19">
        <f>E433</f>
        <v>-2.8410248501443622E-2</v>
      </c>
      <c r="F434" s="19">
        <f>G433</f>
        <v>0</v>
      </c>
      <c r="G434" s="19">
        <f>D433</f>
        <v>0.99959634742234138</v>
      </c>
      <c r="H434" s="19" t="s">
        <v>878</v>
      </c>
      <c r="I434" s="19" t="str">
        <f>CONCATENATE(TEXT(D434,"0.000000")," ",TEXT(E434,"0.000000")," ",TEXT(F434,"0.000000")," ",TEXT(G434,"0.000000"))</f>
        <v>0.000000 -0.028410 0.000000 0.999596</v>
      </c>
      <c r="J434" s="19"/>
      <c r="K434" s="19"/>
      <c r="L434" s="19"/>
      <c r="N434" s="1"/>
      <c r="O434" s="1"/>
      <c r="P434" s="1"/>
      <c r="Q434" s="1"/>
      <c r="R434" s="1"/>
    </row>
    <row r="435" spans="1:20" hidden="1" x14ac:dyDescent="0.2">
      <c r="B435" s="20" t="s">
        <v>831</v>
      </c>
      <c r="C435" s="19" t="s">
        <v>848</v>
      </c>
      <c r="D435" s="1">
        <f>-F434</f>
        <v>0</v>
      </c>
      <c r="E435" s="1">
        <f>-G434</f>
        <v>-0.99959634742234138</v>
      </c>
      <c r="F435" s="1">
        <f>D434</f>
        <v>0</v>
      </c>
      <c r="G435" s="1">
        <f>E434</f>
        <v>-2.8410248501443622E-2</v>
      </c>
      <c r="H435" s="19" t="s">
        <v>878</v>
      </c>
      <c r="I435" s="19" t="str">
        <f>CONCATENATE(TEXT(D435,"0.000000")," ",TEXT(E435,"0.000000")," ",TEXT(F435,"0.000000")," ",TEXT(G435,"0.000000"))</f>
        <v>0.000000 -0.999596 0.000000 -0.028410</v>
      </c>
      <c r="J435" s="19"/>
      <c r="K435" s="19"/>
      <c r="L435" s="19"/>
      <c r="N435" s="1"/>
      <c r="O435" s="1"/>
      <c r="P435" s="1"/>
      <c r="Q435" s="1"/>
      <c r="R435" s="1"/>
    </row>
    <row r="436" spans="1:20" x14ac:dyDescent="0.2">
      <c r="C436" s="41"/>
      <c r="L436" s="59"/>
      <c r="T436" s="59"/>
    </row>
    <row r="437" spans="1:20" x14ac:dyDescent="0.2">
      <c r="A437" s="25" t="s">
        <v>1231</v>
      </c>
      <c r="H437" s="1"/>
      <c r="I437" s="1"/>
      <c r="J437" s="1"/>
      <c r="K437" s="1"/>
      <c r="L437" s="1"/>
      <c r="N437" s="1"/>
      <c r="O437" s="1"/>
      <c r="P437" s="1"/>
      <c r="Q437" s="1"/>
      <c r="R437" s="1"/>
    </row>
    <row r="438" spans="1:20" x14ac:dyDescent="0.2">
      <c r="C438" s="26" t="str">
        <f>T(IF(ABS(C439-C407)+ABS(E439-E407)&lt;&gt;0,"WARNING:  TILE CHANGE -&gt; other world tile file!",""))</f>
        <v/>
      </c>
      <c r="H438" s="1"/>
      <c r="I438" s="1"/>
      <c r="J438" s="1"/>
      <c r="K438" s="1"/>
      <c r="L438" s="1"/>
      <c r="N438" s="1"/>
      <c r="O438" s="1"/>
      <c r="P438" s="1"/>
      <c r="Q438" s="1"/>
      <c r="R438" s="1"/>
    </row>
    <row r="439" spans="1:20" x14ac:dyDescent="0.2">
      <c r="B439" s="88" t="s">
        <v>28</v>
      </c>
      <c r="C439" s="71">
        <f>Q430</f>
        <v>-5769</v>
      </c>
      <c r="D439" t="s">
        <v>27</v>
      </c>
      <c r="E439" s="71">
        <f>R430</f>
        <v>14677</v>
      </c>
      <c r="F439" t="s">
        <v>32</v>
      </c>
    </row>
    <row r="440" spans="1:20" x14ac:dyDescent="0.2">
      <c r="B440" s="88" t="s">
        <v>26</v>
      </c>
      <c r="C440" s="73" t="str">
        <f>CONCATENATE(TEXT(N430,"0.000")," ",TEXT(O430,"0.000")," ",TEXT(P430,"0.000"))</f>
        <v>-162.066 14.625 939.976</v>
      </c>
    </row>
    <row r="441" spans="1:20" x14ac:dyDescent="0.2">
      <c r="B441" s="88" t="s">
        <v>360</v>
      </c>
      <c r="C441" s="74" t="str">
        <f>I421</f>
        <v>0.019028 0.686497 0.017977 0.726662</v>
      </c>
    </row>
    <row r="442" spans="1:20" x14ac:dyDescent="0.2">
      <c r="B442" s="88" t="s">
        <v>453</v>
      </c>
      <c r="C442" s="74" t="str">
        <f>I425</f>
        <v>0.000000 0.686732 0.000000 0.726910</v>
      </c>
    </row>
    <row r="443" spans="1:20" x14ac:dyDescent="0.2">
      <c r="B443" s="88" t="s">
        <v>828</v>
      </c>
      <c r="C443" s="74" t="str">
        <f>I429</f>
        <v>0.000744 -0.028401 0.026166 0.999254</v>
      </c>
    </row>
    <row r="444" spans="1:20" x14ac:dyDescent="0.2">
      <c r="B444" s="88" t="s">
        <v>829</v>
      </c>
      <c r="C444" s="74" t="str">
        <f>I430</f>
        <v>-0.026166 -0.999254 0.000744 -0.028401</v>
      </c>
    </row>
    <row r="445" spans="1:20" x14ac:dyDescent="0.2">
      <c r="B445" s="88" t="s">
        <v>830</v>
      </c>
      <c r="C445" s="74" t="str">
        <f>I434</f>
        <v>0.000000 -0.028410 0.000000 0.999596</v>
      </c>
    </row>
    <row r="446" spans="1:20" x14ac:dyDescent="0.2">
      <c r="B446" s="88" t="s">
        <v>831</v>
      </c>
      <c r="C446" s="74" t="str">
        <f>I435</f>
        <v>0.000000 -0.999596 0.000000 -0.028410</v>
      </c>
    </row>
    <row r="447" spans="1:20" x14ac:dyDescent="0.2">
      <c r="C447" s="12" t="s">
        <v>456</v>
      </c>
      <c r="L447" s="59"/>
      <c r="T447" s="59"/>
    </row>
    <row r="448" spans="1:20" hidden="1" x14ac:dyDescent="0.2">
      <c r="C448" s="12"/>
    </row>
    <row r="449" spans="2:18" hidden="1" x14ac:dyDescent="0.2">
      <c r="D449" s="1" t="s">
        <v>1214</v>
      </c>
      <c r="E449" s="1" t="s">
        <v>1215</v>
      </c>
      <c r="F449" s="1" t="s">
        <v>1216</v>
      </c>
      <c r="G449" s="1" t="s">
        <v>1217</v>
      </c>
      <c r="I449" s="53" t="s">
        <v>1221</v>
      </c>
      <c r="K449" s="1" t="s">
        <v>40</v>
      </c>
      <c r="L449" s="1" t="s">
        <v>41</v>
      </c>
      <c r="M449" s="1" t="s">
        <v>42</v>
      </c>
      <c r="N449" s="1"/>
      <c r="O449" s="1" t="s">
        <v>207</v>
      </c>
      <c r="P449" s="53"/>
    </row>
    <row r="450" spans="2:18" hidden="1" x14ac:dyDescent="0.2">
      <c r="B450" s="20" t="s">
        <v>451</v>
      </c>
      <c r="C450" s="19" t="s">
        <v>1212</v>
      </c>
      <c r="D450" s="19">
        <f>D420</f>
        <v>0.72666172736238188</v>
      </c>
      <c r="E450" s="19">
        <f>E420</f>
        <v>0.68649731531800007</v>
      </c>
      <c r="F450" s="19">
        <f>F420</f>
        <v>1.9028278094766211E-2</v>
      </c>
      <c r="G450" s="19">
        <f>G420</f>
        <v>1.7976537499828225E-2</v>
      </c>
      <c r="H450" s="19"/>
      <c r="I450" s="19">
        <f>SQRT(K450^2+L450^2+M450^2)</f>
        <v>29.042940287483891</v>
      </c>
      <c r="J450" s="19" t="s">
        <v>1219</v>
      </c>
      <c r="K450" s="19">
        <f>K419</f>
        <v>-28.691040938039531</v>
      </c>
      <c r="L450" s="19">
        <f>L419</f>
        <v>1.5199877443008956</v>
      </c>
      <c r="M450" s="19">
        <f>M419</f>
        <v>4.2433698508696445</v>
      </c>
      <c r="N450" s="20" t="s">
        <v>34</v>
      </c>
      <c r="O450" s="1">
        <f>O418</f>
        <v>0.98593323051089954</v>
      </c>
      <c r="P450" s="1"/>
    </row>
    <row r="451" spans="2:18" hidden="1" x14ac:dyDescent="0.2">
      <c r="B451" s="20"/>
      <c r="C451" s="19" t="s">
        <v>1213</v>
      </c>
      <c r="D451" s="19">
        <f>D419</f>
        <v>0.99647710222335251</v>
      </c>
      <c r="E451" s="19">
        <f>E419</f>
        <v>8.3865277347363723E-2</v>
      </c>
      <c r="F451" s="19">
        <f>F419</f>
        <v>0</v>
      </c>
      <c r="G451" s="19">
        <f>G419</f>
        <v>0</v>
      </c>
      <c r="H451" s="19"/>
      <c r="I451" s="19">
        <f>SQRT(K451^2+L451^2+M451^2)</f>
        <v>29.042940287483891</v>
      </c>
      <c r="J451" s="19" t="s">
        <v>208</v>
      </c>
      <c r="K451" s="19">
        <f>O450*K450-O451*M450</f>
        <v>-28.996686060569839</v>
      </c>
      <c r="L451" s="19">
        <f>L450</f>
        <v>1.5199877443008956</v>
      </c>
      <c r="M451" s="1">
        <f>O451*K450+O450*M450</f>
        <v>-0.61173139880561145</v>
      </c>
      <c r="N451" s="20" t="s">
        <v>35</v>
      </c>
      <c r="O451" s="1">
        <f>O419</f>
        <v>0.16713965709651754</v>
      </c>
      <c r="P451" s="1"/>
    </row>
    <row r="452" spans="2:18" hidden="1" x14ac:dyDescent="0.2">
      <c r="B452" s="20"/>
      <c r="C452" s="19" t="s">
        <v>1218</v>
      </c>
      <c r="D452" s="19">
        <f>D451*D450-E451*E450-F451*F450-G451*G450</f>
        <v>0.66652848463131742</v>
      </c>
      <c r="E452" s="19">
        <f>D451*E450+E451*D450+F451*G450-G451*F450</f>
        <v>0.74502054275515239</v>
      </c>
      <c r="F452" s="19">
        <f>D451*F450-E451*G450+F451*D450+G451*E450</f>
        <v>1.7453636113004354E-2</v>
      </c>
      <c r="G452" s="19">
        <f>D451*G450+E451*F450-F451*E450+G451*D450</f>
        <v>1.9509019815698594E-2</v>
      </c>
      <c r="H452" s="19"/>
      <c r="I452" s="19"/>
      <c r="J452" s="19"/>
      <c r="K452" s="19"/>
      <c r="L452" s="19"/>
    </row>
    <row r="453" spans="2:18" hidden="1" x14ac:dyDescent="0.2">
      <c r="B453" s="20"/>
      <c r="C453" s="19" t="s">
        <v>848</v>
      </c>
      <c r="D453" s="19">
        <f>F452</f>
        <v>1.7453636113004354E-2</v>
      </c>
      <c r="E453" s="19">
        <f>E452</f>
        <v>0.74502054275515239</v>
      </c>
      <c r="F453" s="19">
        <f>G452</f>
        <v>1.9509019815698594E-2</v>
      </c>
      <c r="G453" s="19">
        <f>D452</f>
        <v>0.66652848463131742</v>
      </c>
      <c r="H453" s="19" t="s">
        <v>878</v>
      </c>
      <c r="I453" s="19" t="str">
        <f>CONCATENATE(TEXT(D453,"0.000000")," ",TEXT(E453,"0.000000")," ",TEXT(F453,"0.000000")," ",TEXT(G453,"0.000000"))</f>
        <v>0.017454 0.745021 0.019509 0.666528</v>
      </c>
      <c r="J453" s="19"/>
      <c r="K453" s="19"/>
      <c r="L453" s="19"/>
    </row>
    <row r="454" spans="2:18" hidden="1" x14ac:dyDescent="0.2">
      <c r="B454" s="20" t="s">
        <v>453</v>
      </c>
      <c r="C454" s="19" t="s">
        <v>1212</v>
      </c>
      <c r="D454" s="19">
        <f>D424</f>
        <v>0.72691043508220743</v>
      </c>
      <c r="E454" s="19">
        <f>E424</f>
        <v>0.68673227634107581</v>
      </c>
      <c r="F454" s="19">
        <f>F424</f>
        <v>0</v>
      </c>
      <c r="G454" s="19">
        <f>G424</f>
        <v>0</v>
      </c>
      <c r="H454" s="19"/>
      <c r="J454" s="19"/>
      <c r="K454" s="19"/>
      <c r="L454" s="19"/>
    </row>
    <row r="455" spans="2:18" hidden="1" x14ac:dyDescent="0.2">
      <c r="B455" s="20"/>
      <c r="C455" s="19" t="s">
        <v>1213</v>
      </c>
      <c r="D455" s="19">
        <f>D451</f>
        <v>0.99647710222335251</v>
      </c>
      <c r="E455" s="19">
        <f>E451</f>
        <v>8.3865277347363723E-2</v>
      </c>
      <c r="F455" s="19">
        <f>F451</f>
        <v>0</v>
      </c>
      <c r="G455" s="19">
        <f>G451</f>
        <v>0</v>
      </c>
      <c r="H455" s="19"/>
      <c r="J455" s="19"/>
      <c r="K455" s="19"/>
      <c r="L455" s="19"/>
    </row>
    <row r="456" spans="2:18" hidden="1" x14ac:dyDescent="0.2">
      <c r="B456" s="20"/>
      <c r="C456" s="19" t="s">
        <v>1218</v>
      </c>
      <c r="D456" s="19">
        <f>D455*D454-E455*E454-F455*F454-G455*G454</f>
        <v>0.66675661110790374</v>
      </c>
      <c r="E456" s="19">
        <f>D455*E454+E455*D454+F455*G454-G455*F454</f>
        <v>0.74527553397646384</v>
      </c>
      <c r="F456" s="19">
        <f>D455*F454-E455*G454+F455*D454+G455*E454</f>
        <v>0</v>
      </c>
      <c r="G456" s="19">
        <f>D455*G454+E455*F454-F455*E454+G455*D454</f>
        <v>0</v>
      </c>
      <c r="H456" s="19"/>
      <c r="I456" s="19"/>
      <c r="J456" s="19"/>
      <c r="K456" s="19"/>
      <c r="L456" s="19"/>
    </row>
    <row r="457" spans="2:18" hidden="1" x14ac:dyDescent="0.2">
      <c r="B457" s="20"/>
      <c r="C457" s="19" t="s">
        <v>848</v>
      </c>
      <c r="D457" s="19">
        <f>F456</f>
        <v>0</v>
      </c>
      <c r="E457" s="19">
        <f>E456</f>
        <v>0.74527553397646384</v>
      </c>
      <c r="F457" s="19">
        <f>G456</f>
        <v>0</v>
      </c>
      <c r="G457" s="19">
        <f>D456</f>
        <v>0.66675661110790374</v>
      </c>
      <c r="H457" s="19" t="s">
        <v>878</v>
      </c>
      <c r="I457" s="19" t="str">
        <f>CONCATENATE(TEXT(D457,"0.000000")," ",TEXT(E457,"0.000000")," ",TEXT(F457,"0.000000")," ",TEXT(G457,"0.000000"))</f>
        <v>0.000000 0.745276 0.000000 0.666757</v>
      </c>
      <c r="J457" s="19"/>
      <c r="K457" s="19"/>
      <c r="L457" s="19"/>
    </row>
    <row r="458" spans="2:18" hidden="1" x14ac:dyDescent="0.2">
      <c r="B458" s="20" t="s">
        <v>828</v>
      </c>
      <c r="C458" s="19" t="s">
        <v>1212</v>
      </c>
      <c r="D458" s="19">
        <f>D428</f>
        <v>0.99925381176057115</v>
      </c>
      <c r="E458" s="19">
        <f>E428</f>
        <v>-2.8400513048431469E-2</v>
      </c>
      <c r="F458" s="19">
        <f>F428</f>
        <v>7.4369247653560764E-4</v>
      </c>
      <c r="G458" s="19">
        <f>G428</f>
        <v>2.6166342160389787E-2</v>
      </c>
      <c r="H458" s="19"/>
      <c r="I458" s="19"/>
      <c r="J458" s="19"/>
      <c r="K458" s="19"/>
      <c r="L458" s="19"/>
      <c r="M458" s="19"/>
    </row>
    <row r="459" spans="2:18" hidden="1" x14ac:dyDescent="0.2">
      <c r="C459" s="19" t="s">
        <v>1213</v>
      </c>
      <c r="D459" s="19">
        <f>D451</f>
        <v>0.99647710222335251</v>
      </c>
      <c r="E459" s="19">
        <f>E451</f>
        <v>8.3865277347363723E-2</v>
      </c>
      <c r="F459" s="19">
        <f>F451</f>
        <v>0</v>
      </c>
      <c r="G459" s="19">
        <f>G451</f>
        <v>0</v>
      </c>
      <c r="H459" s="19"/>
      <c r="I459" s="19"/>
      <c r="J459" s="19"/>
      <c r="K459" s="19"/>
      <c r="L459" s="19"/>
      <c r="M459" s="19"/>
    </row>
    <row r="460" spans="2:18" hidden="1" x14ac:dyDescent="0.2">
      <c r="C460" s="19" t="s">
        <v>1218</v>
      </c>
      <c r="D460" s="19">
        <f>D459*D458-E459*E458-F459*F458-G459*G458</f>
        <v>0.99811535963242748</v>
      </c>
      <c r="E460" s="19">
        <f>D459*E458+E459*D458+F459*G458-G459*F458</f>
        <v>5.5502237119553183E-2</v>
      </c>
      <c r="F460" s="19">
        <f>D459*F458-E459*G458+F459*D458+G459*E458</f>
        <v>-1.4533750184835951E-3</v>
      </c>
      <c r="G460" s="19">
        <f>D459*G458+E459*F458-F459*E458+G459*D458</f>
        <v>2.613653078757576E-2</v>
      </c>
      <c r="H460" s="19"/>
      <c r="I460" s="19"/>
      <c r="J460" s="19"/>
      <c r="K460" s="19"/>
      <c r="L460" s="19"/>
    </row>
    <row r="461" spans="2:18" hidden="1" x14ac:dyDescent="0.2">
      <c r="C461" s="19" t="s">
        <v>848</v>
      </c>
      <c r="D461" s="19">
        <f>F460</f>
        <v>-1.4533750184835951E-3</v>
      </c>
      <c r="E461" s="19">
        <f>E460</f>
        <v>5.5502237119553183E-2</v>
      </c>
      <c r="F461" s="19">
        <f>G460</f>
        <v>2.613653078757576E-2</v>
      </c>
      <c r="G461" s="19">
        <f>D460</f>
        <v>0.99811535963242748</v>
      </c>
      <c r="H461" s="19" t="s">
        <v>878</v>
      </c>
      <c r="I461" s="19" t="str">
        <f>CONCATENATE(TEXT(D461,"0.000000")," ",TEXT(E461,"0.000000")," ",TEXT(F461,"0.000000")," ",TEXT(G461,"0.000000"))</f>
        <v>-0.001453 0.055502 0.026137 0.998115</v>
      </c>
      <c r="J461" s="19"/>
      <c r="K461" s="19"/>
      <c r="L461" s="19"/>
      <c r="N461" s="1" t="s">
        <v>14</v>
      </c>
      <c r="O461" s="1" t="s">
        <v>15</v>
      </c>
      <c r="P461" s="1" t="s">
        <v>16</v>
      </c>
      <c r="Q461" s="1" t="s">
        <v>17</v>
      </c>
      <c r="R461" s="1" t="s">
        <v>18</v>
      </c>
    </row>
    <row r="462" spans="2:18" hidden="1" x14ac:dyDescent="0.2">
      <c r="B462" s="20" t="s">
        <v>829</v>
      </c>
      <c r="C462" s="19" t="s">
        <v>848</v>
      </c>
      <c r="D462" s="1">
        <f>-F461</f>
        <v>-2.613653078757576E-2</v>
      </c>
      <c r="E462" s="1">
        <f>-G461</f>
        <v>-0.99811535963242748</v>
      </c>
      <c r="F462" s="1">
        <f>D461</f>
        <v>-1.4533750184835951E-3</v>
      </c>
      <c r="G462" s="1">
        <f>E461</f>
        <v>5.5502237119553183E-2</v>
      </c>
      <c r="H462" s="19" t="s">
        <v>878</v>
      </c>
      <c r="I462" s="19" t="str">
        <f>CONCATENATE(TEXT(D462,"0.000000")," ",TEXT(E462,"0.000000")," ",TEXT(F462,"0.000000")," ",TEXT(G462,"0.000000"))</f>
        <v>-0.026137 -0.998115 -0.001453 0.055502</v>
      </c>
      <c r="J462" s="19"/>
      <c r="K462" s="19"/>
      <c r="L462" s="19"/>
      <c r="N462" s="1">
        <f>IF(ABS(N430+K451)&lt;=1024,N430+K451,IF(N430+K451&gt;1024,N430+K451-2048,N430+K451+2048))</f>
        <v>-191.06303868212058</v>
      </c>
      <c r="O462" s="1">
        <f>O430+L451</f>
        <v>16.145186393731585</v>
      </c>
      <c r="P462" s="1">
        <f>IF(ABS(P430+M451)&lt;=1024,P430+M451,IF(P430+M451&gt;1024,P430+M451-2048,P430+M451+2048))</f>
        <v>939.36409874817048</v>
      </c>
      <c r="Q462" s="1">
        <f>IF(ABS(N430+K451)&lt;=1024,Q430,IF(N430+K451&gt;1024,Q430+1,Q430-1))</f>
        <v>-5769</v>
      </c>
      <c r="R462" s="1">
        <f>IF(ABS(P430+M451)&lt;=1024,R430,IF(P430+M451&gt;1024,R430+1,R430-1))</f>
        <v>14677</v>
      </c>
    </row>
    <row r="463" spans="2:18" hidden="1" x14ac:dyDescent="0.2">
      <c r="B463" s="20" t="s">
        <v>830</v>
      </c>
      <c r="C463" s="19" t="s">
        <v>1212</v>
      </c>
      <c r="D463" s="19">
        <f>D433</f>
        <v>0.99959634742234138</v>
      </c>
      <c r="E463" s="19">
        <f>E433</f>
        <v>-2.8410248501443622E-2</v>
      </c>
      <c r="F463" s="19">
        <f>F433</f>
        <v>0</v>
      </c>
      <c r="G463" s="19">
        <f>G433</f>
        <v>0</v>
      </c>
      <c r="H463" s="19"/>
      <c r="I463" s="19"/>
      <c r="J463" s="19"/>
      <c r="K463" s="19"/>
      <c r="L463" s="19"/>
      <c r="N463" s="1"/>
      <c r="O463" s="1"/>
      <c r="P463" s="1"/>
      <c r="Q463" s="1"/>
      <c r="R463" s="1"/>
    </row>
    <row r="464" spans="2:18" hidden="1" x14ac:dyDescent="0.2">
      <c r="B464" s="20"/>
      <c r="C464" s="19" t="s">
        <v>1213</v>
      </c>
      <c r="D464" s="19">
        <f>D459</f>
        <v>0.99647710222335251</v>
      </c>
      <c r="E464" s="19">
        <f>E459</f>
        <v>8.3865277347363723E-2</v>
      </c>
      <c r="F464" s="19">
        <f>F459</f>
        <v>0</v>
      </c>
      <c r="G464" s="19">
        <f>G459</f>
        <v>0</v>
      </c>
      <c r="H464" s="19"/>
      <c r="I464" s="19"/>
      <c r="J464" s="19"/>
      <c r="K464" s="19"/>
      <c r="L464" s="19"/>
      <c r="N464" s="1"/>
      <c r="O464" s="1"/>
      <c r="P464" s="1"/>
      <c r="Q464" s="1"/>
      <c r="R464" s="1"/>
    </row>
    <row r="465" spans="1:20" hidden="1" x14ac:dyDescent="0.2">
      <c r="B465" s="20"/>
      <c r="C465" s="19" t="s">
        <v>1218</v>
      </c>
      <c r="D465" s="19">
        <f>D464*D463-E464*E463-F464*F463-G464*G463</f>
        <v>0.99845750504254327</v>
      </c>
      <c r="E465" s="19">
        <f>D464*E463+E464*D463+F464*G463-G464*F463</f>
        <v>5.5521262811822521E-2</v>
      </c>
      <c r="F465" s="19">
        <f>D464*F463-E464*G463+F464*D463+G464*E463</f>
        <v>0</v>
      </c>
      <c r="G465" s="19">
        <f>D464*G463+E464*F463-F464*E463+G464*D463</f>
        <v>0</v>
      </c>
      <c r="H465" s="19"/>
      <c r="I465" s="19"/>
      <c r="J465" s="19"/>
      <c r="K465" s="19"/>
      <c r="L465" s="19"/>
      <c r="N465" s="1"/>
      <c r="O465" s="1"/>
      <c r="P465" s="1"/>
      <c r="Q465" s="1"/>
      <c r="R465" s="1"/>
    </row>
    <row r="466" spans="1:20" hidden="1" x14ac:dyDescent="0.2">
      <c r="B466" s="20"/>
      <c r="C466" s="19" t="s">
        <v>848</v>
      </c>
      <c r="D466" s="19">
        <f>F465</f>
        <v>0</v>
      </c>
      <c r="E466" s="19">
        <f>E465</f>
        <v>5.5521262811822521E-2</v>
      </c>
      <c r="F466" s="19">
        <f>G465</f>
        <v>0</v>
      </c>
      <c r="G466" s="19">
        <f>D465</f>
        <v>0.99845750504254327</v>
      </c>
      <c r="H466" s="19" t="s">
        <v>878</v>
      </c>
      <c r="I466" s="19" t="str">
        <f>CONCATENATE(TEXT(D466,"0.000000")," ",TEXT(E466,"0.000000")," ",TEXT(F466,"0.000000")," ",TEXT(G466,"0.000000"))</f>
        <v>0.000000 0.055521 0.000000 0.998458</v>
      </c>
      <c r="J466" s="19"/>
      <c r="K466" s="19"/>
      <c r="L466" s="19"/>
      <c r="N466" s="1"/>
      <c r="O466" s="1"/>
      <c r="P466" s="1"/>
      <c r="Q466" s="1"/>
      <c r="R466" s="1"/>
    </row>
    <row r="467" spans="1:20" hidden="1" x14ac:dyDescent="0.2">
      <c r="B467" s="20" t="s">
        <v>831</v>
      </c>
      <c r="C467" s="19" t="s">
        <v>848</v>
      </c>
      <c r="D467" s="1">
        <f>-F466</f>
        <v>0</v>
      </c>
      <c r="E467" s="1">
        <f>-G466</f>
        <v>-0.99845750504254327</v>
      </c>
      <c r="F467" s="1">
        <f>D466</f>
        <v>0</v>
      </c>
      <c r="G467" s="1">
        <f>E466</f>
        <v>5.5521262811822521E-2</v>
      </c>
      <c r="H467" s="19" t="s">
        <v>878</v>
      </c>
      <c r="I467" s="19" t="str">
        <f>CONCATENATE(TEXT(D467,"0.000000")," ",TEXT(E467,"0.000000")," ",TEXT(F467,"0.000000")," ",TEXT(G467,"0.000000"))</f>
        <v>0.000000 -0.998458 0.000000 0.055521</v>
      </c>
      <c r="J467" s="19"/>
      <c r="K467" s="19"/>
      <c r="L467" s="19"/>
      <c r="N467" s="1"/>
      <c r="O467" s="1"/>
      <c r="P467" s="1"/>
      <c r="Q467" s="1"/>
      <c r="R467" s="1"/>
    </row>
    <row r="468" spans="1:20" x14ac:dyDescent="0.2">
      <c r="C468" s="41"/>
      <c r="L468" s="59"/>
      <c r="T468" s="59"/>
    </row>
    <row r="469" spans="1:20" x14ac:dyDescent="0.2">
      <c r="A469" s="25" t="s">
        <v>1232</v>
      </c>
      <c r="H469" s="1"/>
      <c r="I469" s="1"/>
      <c r="J469" s="1"/>
      <c r="K469" s="1"/>
      <c r="L469" s="1"/>
      <c r="N469" s="1"/>
      <c r="O469" s="1"/>
      <c r="P469" s="1"/>
      <c r="Q469" s="1"/>
      <c r="R469" s="1"/>
    </row>
    <row r="470" spans="1:20" x14ac:dyDescent="0.2">
      <c r="C470" s="26" t="str">
        <f>T(IF(ABS(C471-C439)+ABS(E471-E439)&lt;&gt;0,"WARNING:  TILE CHANGE -&gt; other world tile file!",""))</f>
        <v/>
      </c>
      <c r="H470" s="1"/>
      <c r="I470" s="1"/>
      <c r="J470" s="1"/>
      <c r="K470" s="1"/>
      <c r="L470" s="1"/>
      <c r="N470" s="1"/>
      <c r="O470" s="1"/>
      <c r="P470" s="1"/>
      <c r="Q470" s="1"/>
      <c r="R470" s="1"/>
    </row>
    <row r="471" spans="1:20" x14ac:dyDescent="0.2">
      <c r="B471" s="88" t="s">
        <v>28</v>
      </c>
      <c r="C471" s="71">
        <f>Q462</f>
        <v>-5769</v>
      </c>
      <c r="D471" t="s">
        <v>27</v>
      </c>
      <c r="E471" s="71">
        <f>R462</f>
        <v>14677</v>
      </c>
      <c r="F471" t="s">
        <v>32</v>
      </c>
    </row>
    <row r="472" spans="1:20" x14ac:dyDescent="0.2">
      <c r="B472" s="88" t="s">
        <v>26</v>
      </c>
      <c r="C472" s="73" t="str">
        <f>CONCATENATE(TEXT(N462,"0.000")," ",TEXT(O462,"0.000")," ",TEXT(P462,"0.000"))</f>
        <v>-191.063 16.145 939.364</v>
      </c>
    </row>
    <row r="473" spans="1:20" x14ac:dyDescent="0.2">
      <c r="B473" s="88" t="s">
        <v>360</v>
      </c>
      <c r="C473" s="74" t="str">
        <f>I453</f>
        <v>0.017454 0.745021 0.019509 0.666528</v>
      </c>
    </row>
    <row r="474" spans="1:20" x14ac:dyDescent="0.2">
      <c r="B474" s="88" t="s">
        <v>453</v>
      </c>
      <c r="C474" s="74" t="str">
        <f>I457</f>
        <v>0.000000 0.745276 0.000000 0.666757</v>
      </c>
    </row>
    <row r="475" spans="1:20" x14ac:dyDescent="0.2">
      <c r="B475" s="88" t="s">
        <v>828</v>
      </c>
      <c r="C475" s="74" t="str">
        <f>I461</f>
        <v>-0.001453 0.055502 0.026137 0.998115</v>
      </c>
    </row>
    <row r="476" spans="1:20" x14ac:dyDescent="0.2">
      <c r="B476" s="88" t="s">
        <v>829</v>
      </c>
      <c r="C476" s="74" t="str">
        <f>I462</f>
        <v>-0.026137 -0.998115 -0.001453 0.055502</v>
      </c>
    </row>
    <row r="477" spans="1:20" x14ac:dyDescent="0.2">
      <c r="B477" s="88" t="s">
        <v>830</v>
      </c>
      <c r="C477" s="74" t="str">
        <f>I466</f>
        <v>0.000000 0.055521 0.000000 0.998458</v>
      </c>
    </row>
    <row r="478" spans="1:20" x14ac:dyDescent="0.2">
      <c r="B478" s="88" t="s">
        <v>831</v>
      </c>
      <c r="C478" s="74" t="str">
        <f>I467</f>
        <v>0.000000 -0.998458 0.000000 0.055521</v>
      </c>
    </row>
    <row r="479" spans="1:20" x14ac:dyDescent="0.2">
      <c r="C479" s="12" t="s">
        <v>456</v>
      </c>
      <c r="L479" s="59"/>
      <c r="T479" s="59"/>
    </row>
    <row r="480" spans="1:20" hidden="1" x14ac:dyDescent="0.2">
      <c r="C480" s="12"/>
    </row>
    <row r="481" spans="2:18" hidden="1" x14ac:dyDescent="0.2">
      <c r="D481" s="1" t="s">
        <v>1214</v>
      </c>
      <c r="E481" s="1" t="s">
        <v>1215</v>
      </c>
      <c r="F481" s="1" t="s">
        <v>1216</v>
      </c>
      <c r="G481" s="1" t="s">
        <v>1217</v>
      </c>
      <c r="I481" s="53" t="s">
        <v>1221</v>
      </c>
      <c r="K481" s="1" t="s">
        <v>40</v>
      </c>
      <c r="L481" s="1" t="s">
        <v>41</v>
      </c>
      <c r="M481" s="1" t="s">
        <v>42</v>
      </c>
      <c r="N481" s="1"/>
      <c r="O481" s="1" t="s">
        <v>207</v>
      </c>
      <c r="P481" s="53"/>
    </row>
    <row r="482" spans="2:18" hidden="1" x14ac:dyDescent="0.2">
      <c r="B482" s="20" t="s">
        <v>451</v>
      </c>
      <c r="C482" s="19" t="s">
        <v>1212</v>
      </c>
      <c r="D482" s="19">
        <f>D452</f>
        <v>0.66652848463131742</v>
      </c>
      <c r="E482" s="19">
        <f>E452</f>
        <v>0.74502054275515239</v>
      </c>
      <c r="F482" s="19">
        <f>F452</f>
        <v>1.7453636113004354E-2</v>
      </c>
      <c r="G482" s="19">
        <f>G452</f>
        <v>1.9509019815698594E-2</v>
      </c>
      <c r="H482" s="19"/>
      <c r="I482" s="19">
        <f>SQRT(K482^2+L482^2+M482^2)</f>
        <v>29.042940287483891</v>
      </c>
      <c r="J482" s="19" t="s">
        <v>1219</v>
      </c>
      <c r="K482" s="19">
        <f>K451</f>
        <v>-28.996686060569839</v>
      </c>
      <c r="L482" s="19">
        <f>L451</f>
        <v>1.5199877443008956</v>
      </c>
      <c r="M482" s="19">
        <f>M451</f>
        <v>-0.61173139880561145</v>
      </c>
      <c r="N482" s="20" t="s">
        <v>34</v>
      </c>
      <c r="O482" s="1">
        <f>O450</f>
        <v>0.98593323051089954</v>
      </c>
      <c r="P482" s="1"/>
    </row>
    <row r="483" spans="2:18" hidden="1" x14ac:dyDescent="0.2">
      <c r="C483" s="19" t="s">
        <v>1213</v>
      </c>
      <c r="D483" s="19">
        <f>D451</f>
        <v>0.99647710222335251</v>
      </c>
      <c r="E483" s="19">
        <f>E451</f>
        <v>8.3865277347363723E-2</v>
      </c>
      <c r="F483" s="19">
        <f>F451</f>
        <v>0</v>
      </c>
      <c r="G483" s="19">
        <f>G451</f>
        <v>0</v>
      </c>
      <c r="H483" s="19"/>
      <c r="I483" s="19">
        <f>SQRT(K483^2+L483^2+M483^2)</f>
        <v>29.042940287483891</v>
      </c>
      <c r="J483" s="19" t="s">
        <v>208</v>
      </c>
      <c r="K483" s="19">
        <f>O482*K482-O483*M482</f>
        <v>-28.486551785576449</v>
      </c>
      <c r="L483" s="19">
        <f>L482</f>
        <v>1.5199877443008956</v>
      </c>
      <c r="M483" s="1">
        <f>O483*K482+O482*M482</f>
        <v>-5.4496224793283812</v>
      </c>
      <c r="N483" s="20" t="s">
        <v>35</v>
      </c>
      <c r="O483" s="1">
        <f>O451</f>
        <v>0.16713965709651754</v>
      </c>
      <c r="P483" s="1"/>
    </row>
    <row r="484" spans="2:18" hidden="1" x14ac:dyDescent="0.2">
      <c r="C484" s="19" t="s">
        <v>1218</v>
      </c>
      <c r="D484" s="19">
        <f>D483*D482-E483*E482-F483*F482-G483*G482</f>
        <v>0.60169901846709317</v>
      </c>
      <c r="E484" s="19">
        <f>D483*E482+E483*D482+F483*G482-G483*F482</f>
        <v>0.79829450776504696</v>
      </c>
      <c r="F484" s="19">
        <f>D483*F482-E483*G482+F483*D482+G483*E482</f>
        <v>1.5756019379528658E-2</v>
      </c>
      <c r="G484" s="19">
        <f>D483*G482+E483*F482-F483*E482+G483*D482</f>
        <v>2.0904045566502372E-2</v>
      </c>
      <c r="H484" s="19"/>
      <c r="I484" s="19"/>
      <c r="J484" s="19"/>
      <c r="K484" s="19"/>
      <c r="L484" s="19"/>
    </row>
    <row r="485" spans="2:18" hidden="1" x14ac:dyDescent="0.2">
      <c r="C485" s="19" t="s">
        <v>848</v>
      </c>
      <c r="D485" s="19">
        <f>F484</f>
        <v>1.5756019379528658E-2</v>
      </c>
      <c r="E485" s="19">
        <f>E484</f>
        <v>0.79829450776504696</v>
      </c>
      <c r="F485" s="19">
        <f>G484</f>
        <v>2.0904045566502372E-2</v>
      </c>
      <c r="G485" s="19">
        <f>D484</f>
        <v>0.60169901846709317</v>
      </c>
      <c r="H485" s="19" t="s">
        <v>878</v>
      </c>
      <c r="I485" s="19" t="str">
        <f>CONCATENATE(TEXT(D485,"0.000000")," ",TEXT(E485,"0.000000")," ",TEXT(F485,"0.000000")," ",TEXT(G485,"0.000000"))</f>
        <v>0.015756 0.798295 0.020904 0.601699</v>
      </c>
      <c r="J485" s="19"/>
      <c r="K485" s="19"/>
      <c r="L485" s="19"/>
    </row>
    <row r="486" spans="2:18" hidden="1" x14ac:dyDescent="0.2">
      <c r="B486" s="20" t="s">
        <v>453</v>
      </c>
      <c r="C486" s="19" t="s">
        <v>1212</v>
      </c>
      <c r="D486" s="19">
        <f>D456</f>
        <v>0.66675661110790374</v>
      </c>
      <c r="E486" s="19">
        <f>E456</f>
        <v>0.74527553397646384</v>
      </c>
      <c r="F486" s="19">
        <f>F456</f>
        <v>0</v>
      </c>
      <c r="G486" s="19">
        <f>G456</f>
        <v>0</v>
      </c>
      <c r="H486" s="19"/>
      <c r="J486" s="19"/>
      <c r="K486" s="19"/>
      <c r="L486" s="19"/>
    </row>
    <row r="487" spans="2:18" hidden="1" x14ac:dyDescent="0.2">
      <c r="B487" s="20"/>
      <c r="C487" s="19" t="s">
        <v>1213</v>
      </c>
      <c r="D487" s="19">
        <f>D483</f>
        <v>0.99647710222335251</v>
      </c>
      <c r="E487" s="19">
        <f>E483</f>
        <v>8.3865277347363723E-2</v>
      </c>
      <c r="F487" s="19">
        <f>F483</f>
        <v>0</v>
      </c>
      <c r="G487" s="19">
        <f>G483</f>
        <v>0</v>
      </c>
      <c r="H487" s="19"/>
      <c r="J487" s="19"/>
      <c r="K487" s="19"/>
      <c r="L487" s="19"/>
    </row>
    <row r="488" spans="2:18" hidden="1" x14ac:dyDescent="0.2">
      <c r="B488" s="20"/>
      <c r="C488" s="19" t="s">
        <v>1218</v>
      </c>
      <c r="D488" s="19">
        <f>D487*D486-E487*E486-F487*F486-G487*G486</f>
        <v>0.60190495636792596</v>
      </c>
      <c r="E488" s="19">
        <f>D487*E486+E487*D486+F487*G486-G487*F486</f>
        <v>0.79856773256858116</v>
      </c>
      <c r="F488" s="19">
        <f>D487*F486-E487*G486+F487*D486+G487*E486</f>
        <v>0</v>
      </c>
      <c r="G488" s="19">
        <f>D487*G486+E487*F486-F487*E486+G487*D486</f>
        <v>0</v>
      </c>
      <c r="H488" s="19"/>
      <c r="I488" s="19"/>
      <c r="J488" s="19"/>
      <c r="K488" s="19"/>
      <c r="L488" s="19"/>
    </row>
    <row r="489" spans="2:18" hidden="1" x14ac:dyDescent="0.2">
      <c r="B489" s="20"/>
      <c r="C489" s="19" t="s">
        <v>848</v>
      </c>
      <c r="D489" s="19">
        <f>F488</f>
        <v>0</v>
      </c>
      <c r="E489" s="19">
        <f>E488</f>
        <v>0.79856773256858116</v>
      </c>
      <c r="F489" s="19">
        <f>G488</f>
        <v>0</v>
      </c>
      <c r="G489" s="19">
        <f>D488</f>
        <v>0.60190495636792596</v>
      </c>
      <c r="H489" s="19" t="s">
        <v>878</v>
      </c>
      <c r="I489" s="19" t="str">
        <f>CONCATENATE(TEXT(D489,"0.000000")," ",TEXT(E489,"0.000000")," ",TEXT(F489,"0.000000")," ",TEXT(G489,"0.000000"))</f>
        <v>0.000000 0.798568 0.000000 0.601905</v>
      </c>
      <c r="J489" s="19"/>
      <c r="K489" s="19"/>
      <c r="L489" s="19"/>
    </row>
    <row r="490" spans="2:18" hidden="1" x14ac:dyDescent="0.2">
      <c r="B490" s="20" t="s">
        <v>833</v>
      </c>
      <c r="C490" s="19" t="s">
        <v>1212</v>
      </c>
      <c r="D490" s="19">
        <f>D460</f>
        <v>0.99811535963242748</v>
      </c>
      <c r="E490" s="19">
        <f>E460</f>
        <v>5.5502237119553183E-2</v>
      </c>
      <c r="F490" s="19">
        <f>F460</f>
        <v>-1.4533750184835951E-3</v>
      </c>
      <c r="G490" s="19">
        <f>G460</f>
        <v>2.613653078757576E-2</v>
      </c>
      <c r="H490" s="19"/>
      <c r="I490" s="19"/>
      <c r="J490" s="19"/>
      <c r="K490" s="19"/>
      <c r="L490" s="19"/>
      <c r="M490" s="19"/>
    </row>
    <row r="491" spans="2:18" hidden="1" x14ac:dyDescent="0.2">
      <c r="C491" s="19" t="s">
        <v>1213</v>
      </c>
      <c r="D491" s="19">
        <f>D483</f>
        <v>0.99647710222335251</v>
      </c>
      <c r="E491" s="19">
        <f>E483</f>
        <v>8.3865277347363723E-2</v>
      </c>
      <c r="F491" s="19">
        <f>F483</f>
        <v>0</v>
      </c>
      <c r="G491" s="19">
        <f>G483</f>
        <v>0</v>
      </c>
      <c r="H491" s="19"/>
      <c r="I491" s="19"/>
      <c r="J491" s="19"/>
      <c r="K491" s="19"/>
      <c r="L491" s="19"/>
      <c r="M491" s="19"/>
    </row>
    <row r="492" spans="2:18" hidden="1" x14ac:dyDescent="0.2">
      <c r="C492" s="19" t="s">
        <v>1218</v>
      </c>
      <c r="D492" s="19">
        <f>D491*D490-E491*E490-F491*F490-G491*G490</f>
        <v>0.98994439074171026</v>
      </c>
      <c r="E492" s="19">
        <f>D491*E490+E491*D490+F491*G490-G491*F490</f>
        <v>0.13901392987204297</v>
      </c>
      <c r="F492" s="19">
        <f>D491*F490-E491*G490+F491*D490+G491*E490</f>
        <v>-3.640202330260296E-3</v>
      </c>
      <c r="G492" s="19">
        <f>D491*G490+E491*F490-F491*E490+G491*D490</f>
        <v>2.5922566762360072E-2</v>
      </c>
      <c r="H492" s="19"/>
      <c r="I492" s="19"/>
      <c r="J492" s="19"/>
      <c r="K492" s="19"/>
      <c r="L492" s="19"/>
    </row>
    <row r="493" spans="2:18" hidden="1" x14ac:dyDescent="0.2">
      <c r="C493" s="19" t="s">
        <v>848</v>
      </c>
      <c r="D493" s="19">
        <f>F492</f>
        <v>-3.640202330260296E-3</v>
      </c>
      <c r="E493" s="19">
        <f>E492</f>
        <v>0.13901392987204297</v>
      </c>
      <c r="F493" s="19">
        <f>G492</f>
        <v>2.5922566762360072E-2</v>
      </c>
      <c r="G493" s="19">
        <f>D492</f>
        <v>0.98994439074171026</v>
      </c>
      <c r="H493" s="19" t="s">
        <v>878</v>
      </c>
      <c r="I493" s="19" t="str">
        <f>CONCATENATE(TEXT(D493,"0.000000")," ",TEXT(E493,"0.000000")," ",TEXT(F493,"0.000000")," ",TEXT(G493,"0.000000"))</f>
        <v>-0.003640 0.139014 0.025923 0.989944</v>
      </c>
      <c r="J493" s="19"/>
      <c r="K493" s="19"/>
      <c r="L493" s="19"/>
      <c r="N493" s="1" t="s">
        <v>14</v>
      </c>
      <c r="O493" s="1" t="s">
        <v>15</v>
      </c>
      <c r="P493" s="1" t="s">
        <v>16</v>
      </c>
      <c r="Q493" s="1" t="s">
        <v>17</v>
      </c>
      <c r="R493" s="1" t="s">
        <v>18</v>
      </c>
    </row>
    <row r="494" spans="2:18" hidden="1" x14ac:dyDescent="0.2">
      <c r="B494" s="20" t="s">
        <v>834</v>
      </c>
      <c r="C494" s="19" t="s">
        <v>848</v>
      </c>
      <c r="D494" s="1">
        <f>-F493</f>
        <v>-2.5922566762360072E-2</v>
      </c>
      <c r="E494" s="1">
        <f>-G493</f>
        <v>-0.98994439074171026</v>
      </c>
      <c r="F494" s="1">
        <f>D493</f>
        <v>-3.640202330260296E-3</v>
      </c>
      <c r="G494" s="1">
        <f>E493</f>
        <v>0.13901392987204297</v>
      </c>
      <c r="H494" s="19" t="s">
        <v>878</v>
      </c>
      <c r="I494" s="19" t="str">
        <f>CONCATENATE(TEXT(D494,"0.000000")," ",TEXT(E494,"0.000000")," ",TEXT(F494,"0.000000")," ",TEXT(G494,"0.000000"))</f>
        <v>-0.025923 -0.989944 -0.003640 0.139014</v>
      </c>
      <c r="J494" s="19"/>
      <c r="K494" s="19"/>
      <c r="L494" s="19"/>
      <c r="N494" s="1">
        <f>IF(ABS(N462+K483)&lt;=1024,N462+K483,IF(N462+K483&gt;1024,N462+K483-2048,N462+K483+2048))</f>
        <v>-219.54959046769702</v>
      </c>
      <c r="O494" s="1">
        <f>O462+L483</f>
        <v>17.66517413803248</v>
      </c>
      <c r="P494" s="1">
        <f>IF(ABS(P462+M483)&lt;=1024,P462+M483,IF(P462+M483&gt;1024,P462+M483-2048,P462+M483+2048))</f>
        <v>933.91447626884212</v>
      </c>
      <c r="Q494" s="1">
        <f>IF(ABS(N462+K483)&lt;=1024,Q462,IF(N462+K483&gt;1024,Q462+1,Q462-1))</f>
        <v>-5769</v>
      </c>
      <c r="R494" s="1">
        <f>IF(ABS(P462+M483)&lt;=1024,R462,IF(P462+M483&gt;1024,R462+1,R462-1))</f>
        <v>14677</v>
      </c>
    </row>
    <row r="495" spans="2:18" hidden="1" x14ac:dyDescent="0.2">
      <c r="B495" s="20" t="s">
        <v>830</v>
      </c>
      <c r="C495" s="19" t="s">
        <v>1212</v>
      </c>
      <c r="D495" s="19">
        <f>D465</f>
        <v>0.99845750504254327</v>
      </c>
      <c r="E495" s="19">
        <f>E465</f>
        <v>5.5521262811822521E-2</v>
      </c>
      <c r="F495" s="19">
        <f>F465</f>
        <v>0</v>
      </c>
      <c r="G495" s="19">
        <f>G465</f>
        <v>0</v>
      </c>
      <c r="H495" s="19"/>
      <c r="I495" s="19"/>
      <c r="J495" s="19"/>
      <c r="K495" s="19"/>
      <c r="L495" s="19"/>
      <c r="N495" s="1"/>
      <c r="O495" s="1"/>
      <c r="P495" s="1"/>
      <c r="Q495" s="1"/>
      <c r="R495" s="1"/>
    </row>
    <row r="496" spans="2:18" hidden="1" x14ac:dyDescent="0.2">
      <c r="B496" s="20"/>
      <c r="C496" s="19" t="s">
        <v>1213</v>
      </c>
      <c r="D496" s="19">
        <f>D491</f>
        <v>0.99647710222335251</v>
      </c>
      <c r="E496" s="19">
        <f>E491</f>
        <v>8.3865277347363723E-2</v>
      </c>
      <c r="F496" s="19">
        <f>F491</f>
        <v>0</v>
      </c>
      <c r="G496" s="19">
        <f>G491</f>
        <v>0</v>
      </c>
      <c r="H496" s="19"/>
      <c r="I496" s="19"/>
      <c r="J496" s="19"/>
      <c r="K496" s="19"/>
      <c r="L496" s="19"/>
      <c r="N496" s="1"/>
      <c r="O496" s="1"/>
      <c r="P496" s="1"/>
      <c r="Q496" s="1"/>
      <c r="R496" s="1"/>
    </row>
    <row r="497" spans="1:20" hidden="1" x14ac:dyDescent="0.2">
      <c r="B497" s="20"/>
      <c r="C497" s="19" t="s">
        <v>1218</v>
      </c>
      <c r="D497" s="19">
        <f>D496*D495-E496*E495-F496*F495-G496*G495</f>
        <v>0.9902837352135625</v>
      </c>
      <c r="E497" s="19">
        <f>D496*E495+E496*D495+F496*G495-G496*F495</f>
        <v>0.13906158265845581</v>
      </c>
      <c r="F497" s="19">
        <f>D496*F495-E496*G495+F496*D495+G496*E495</f>
        <v>0</v>
      </c>
      <c r="G497" s="19">
        <f>D496*G495+E496*F495-F496*E495+G496*D495</f>
        <v>0</v>
      </c>
      <c r="H497" s="19"/>
      <c r="I497" s="19"/>
      <c r="J497" s="19"/>
      <c r="K497" s="19"/>
      <c r="L497" s="19"/>
      <c r="N497" s="1"/>
      <c r="O497" s="1"/>
      <c r="P497" s="1"/>
      <c r="Q497" s="1"/>
      <c r="R497" s="1"/>
    </row>
    <row r="498" spans="1:20" hidden="1" x14ac:dyDescent="0.2">
      <c r="B498" s="20"/>
      <c r="C498" s="19" t="s">
        <v>848</v>
      </c>
      <c r="D498" s="19">
        <f>F497</f>
        <v>0</v>
      </c>
      <c r="E498" s="19">
        <f>E497</f>
        <v>0.13906158265845581</v>
      </c>
      <c r="F498" s="19">
        <f>G497</f>
        <v>0</v>
      </c>
      <c r="G498" s="19">
        <f>D497</f>
        <v>0.9902837352135625</v>
      </c>
      <c r="H498" s="19" t="s">
        <v>878</v>
      </c>
      <c r="I498" s="19" t="str">
        <f>CONCATENATE(TEXT(D498,"0.000000")," ",TEXT(E498,"0.000000")," ",TEXT(F498,"0.000000")," ",TEXT(G498,"0.000000"))</f>
        <v>0.000000 0.139062 0.000000 0.990284</v>
      </c>
      <c r="J498" s="19"/>
      <c r="K498" s="19"/>
      <c r="L498" s="19"/>
      <c r="N498" s="1"/>
      <c r="O498" s="1"/>
      <c r="P498" s="1"/>
      <c r="Q498" s="1"/>
      <c r="R498" s="1"/>
    </row>
    <row r="499" spans="1:20" hidden="1" x14ac:dyDescent="0.2">
      <c r="B499" s="20" t="s">
        <v>831</v>
      </c>
      <c r="C499" s="19" t="s">
        <v>848</v>
      </c>
      <c r="D499" s="1">
        <f>-F498</f>
        <v>0</v>
      </c>
      <c r="E499" s="1">
        <f>-G498</f>
        <v>-0.9902837352135625</v>
      </c>
      <c r="F499" s="1">
        <f>D498</f>
        <v>0</v>
      </c>
      <c r="G499" s="1">
        <f>E498</f>
        <v>0.13906158265845581</v>
      </c>
      <c r="H499" s="19" t="s">
        <v>878</v>
      </c>
      <c r="I499" s="19" t="str">
        <f>CONCATENATE(TEXT(D499,"0.000000")," ",TEXT(E499,"0.000000")," ",TEXT(F499,"0.000000")," ",TEXT(G499,"0.000000"))</f>
        <v>0.000000 -0.990284 0.000000 0.139062</v>
      </c>
      <c r="J499" s="19"/>
      <c r="K499" s="19"/>
      <c r="L499" s="19"/>
      <c r="N499" s="1"/>
      <c r="O499" s="1"/>
      <c r="P499" s="1"/>
      <c r="Q499" s="1"/>
      <c r="R499" s="1"/>
    </row>
    <row r="500" spans="1:20" x14ac:dyDescent="0.2">
      <c r="L500" s="59"/>
      <c r="T500" s="59"/>
    </row>
    <row r="501" spans="1:20" x14ac:dyDescent="0.2">
      <c r="A501" s="25" t="s">
        <v>1233</v>
      </c>
      <c r="H501" s="1"/>
      <c r="I501" s="1"/>
      <c r="J501" s="1"/>
      <c r="K501" s="1"/>
      <c r="L501" s="1"/>
      <c r="N501" s="1"/>
      <c r="O501" s="1"/>
      <c r="P501" s="1"/>
      <c r="Q501" s="1"/>
      <c r="R501" s="1"/>
    </row>
    <row r="502" spans="1:20" x14ac:dyDescent="0.2">
      <c r="C502" s="26" t="str">
        <f>T(IF(ABS(C503-C471)+ABS(E503-E471)&lt;&gt;0,"WARNING:  TILE CHANGE -&gt; other world tile file!",""))</f>
        <v/>
      </c>
      <c r="H502" s="1"/>
      <c r="I502" s="1"/>
      <c r="J502" s="1"/>
      <c r="K502" s="1"/>
      <c r="L502" s="1"/>
      <c r="N502" s="1"/>
      <c r="O502" s="1"/>
      <c r="P502" s="1"/>
      <c r="Q502" s="1"/>
      <c r="R502" s="1"/>
    </row>
    <row r="503" spans="1:20" x14ac:dyDescent="0.2">
      <c r="B503" s="88" t="s">
        <v>28</v>
      </c>
      <c r="C503" s="71">
        <f>Q494</f>
        <v>-5769</v>
      </c>
      <c r="D503" t="s">
        <v>27</v>
      </c>
      <c r="E503" s="71">
        <f>R494</f>
        <v>14677</v>
      </c>
      <c r="F503" t="s">
        <v>32</v>
      </c>
    </row>
    <row r="504" spans="1:20" x14ac:dyDescent="0.2">
      <c r="B504" s="88" t="s">
        <v>26</v>
      </c>
      <c r="C504" s="73" t="str">
        <f>CONCATENATE(TEXT(N494,"0.000")," ",TEXT(O494,"0.000")," ",TEXT(P494,"0.000"))</f>
        <v>-219.550 17.665 933.914</v>
      </c>
    </row>
    <row r="505" spans="1:20" x14ac:dyDescent="0.2">
      <c r="B505" s="88" t="s">
        <v>360</v>
      </c>
      <c r="C505" s="74" t="str">
        <f>I485</f>
        <v>0.015756 0.798295 0.020904 0.601699</v>
      </c>
    </row>
    <row r="506" spans="1:20" x14ac:dyDescent="0.2">
      <c r="B506" s="88" t="s">
        <v>453</v>
      </c>
      <c r="C506" s="74" t="str">
        <f>I489</f>
        <v>0.000000 0.798568 0.000000 0.601905</v>
      </c>
    </row>
    <row r="507" spans="1:20" x14ac:dyDescent="0.2">
      <c r="B507" s="88" t="s">
        <v>828</v>
      </c>
      <c r="C507" s="74" t="str">
        <f>I493</f>
        <v>-0.003640 0.139014 0.025923 0.989944</v>
      </c>
    </row>
    <row r="508" spans="1:20" x14ac:dyDescent="0.2">
      <c r="B508" s="88" t="s">
        <v>829</v>
      </c>
      <c r="C508" s="74" t="str">
        <f>I494</f>
        <v>-0.025923 -0.989944 -0.003640 0.139014</v>
      </c>
    </row>
    <row r="509" spans="1:20" x14ac:dyDescent="0.2">
      <c r="B509" s="88" t="s">
        <v>830</v>
      </c>
      <c r="C509" s="74" t="str">
        <f>I498</f>
        <v>0.000000 0.139062 0.000000 0.990284</v>
      </c>
    </row>
    <row r="510" spans="1:20" x14ac:dyDescent="0.2">
      <c r="B510" s="88" t="s">
        <v>831</v>
      </c>
      <c r="C510" s="74" t="str">
        <f>I499</f>
        <v>0.000000 -0.990284 0.000000 0.139062</v>
      </c>
    </row>
    <row r="511" spans="1:20" x14ac:dyDescent="0.2">
      <c r="C511" s="12" t="s">
        <v>456</v>
      </c>
    </row>
    <row r="513" spans="1:27" x14ac:dyDescent="0.2">
      <c r="A513" s="82" t="s">
        <v>209</v>
      </c>
      <c r="B513" s="11"/>
      <c r="C513" s="11"/>
      <c r="D513" s="11"/>
      <c r="E513" s="11"/>
      <c r="F513" s="11"/>
      <c r="G513" s="11"/>
      <c r="H513" s="11"/>
    </row>
    <row r="514" spans="1:27" x14ac:dyDescent="0.2">
      <c r="A514" s="54"/>
      <c r="B514" s="82" t="s">
        <v>601</v>
      </c>
      <c r="C514" s="11"/>
      <c r="D514" s="11"/>
      <c r="E514" s="11"/>
      <c r="F514" s="11"/>
      <c r="G514" s="11"/>
      <c r="H514" s="11"/>
    </row>
    <row r="515" spans="1:27" x14ac:dyDescent="0.2">
      <c r="A515" s="44"/>
      <c r="B515" t="s">
        <v>146</v>
      </c>
    </row>
    <row r="516" spans="1:27" x14ac:dyDescent="0.2">
      <c r="A516" s="44"/>
    </row>
    <row r="517" spans="1:27" x14ac:dyDescent="0.2">
      <c r="A517" s="82" t="s">
        <v>149</v>
      </c>
      <c r="B517" s="11"/>
      <c r="C517" s="11"/>
      <c r="D517" s="11"/>
      <c r="E517" s="11"/>
    </row>
    <row r="518" spans="1:27" x14ac:dyDescent="0.2">
      <c r="A518" s="44"/>
    </row>
    <row r="519" spans="1:27" x14ac:dyDescent="0.2">
      <c r="A519" s="13" t="s">
        <v>567</v>
      </c>
    </row>
    <row r="520" spans="1:27" x14ac:dyDescent="0.2">
      <c r="A520" s="13"/>
      <c r="B520" t="s">
        <v>562</v>
      </c>
    </row>
    <row r="521" spans="1:27" x14ac:dyDescent="0.2">
      <c r="A521" s="13"/>
    </row>
    <row r="522" spans="1:27" x14ac:dyDescent="0.2">
      <c r="A522" s="82" t="s">
        <v>449</v>
      </c>
      <c r="B522" s="10"/>
      <c r="C522" s="10"/>
      <c r="D522" s="10"/>
      <c r="E522" s="10"/>
    </row>
    <row r="523" spans="1:27" x14ac:dyDescent="0.2">
      <c r="A523" s="41"/>
    </row>
    <row r="524" spans="1:27" x14ac:dyDescent="0.2">
      <c r="A524" s="41" t="s">
        <v>450</v>
      </c>
    </row>
    <row r="525" spans="1:27" x14ac:dyDescent="0.2">
      <c r="A525" s="13"/>
    </row>
    <row r="526" spans="1:27" x14ac:dyDescent="0.2">
      <c r="A526" s="82" t="s">
        <v>1170</v>
      </c>
      <c r="B526" s="10"/>
    </row>
    <row r="527" spans="1:27" ht="13.5" thickBot="1" x14ac:dyDescent="0.25">
      <c r="A527" s="4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6"/>
  <sheetViews>
    <sheetView workbookViewId="0">
      <selection activeCell="A2" sqref="A2"/>
    </sheetView>
  </sheetViews>
  <sheetFormatPr defaultRowHeight="12.75" x14ac:dyDescent="0.2"/>
  <cols>
    <col min="1" max="1" width="10.28515625" customWidth="1"/>
    <col min="2" max="2" width="11.5703125" customWidth="1"/>
    <col min="3" max="3" width="13.140625" customWidth="1"/>
    <col min="4" max="4" width="13.5703125" customWidth="1"/>
    <col min="7" max="7" width="19.7109375" hidden="1" customWidth="1"/>
    <col min="8" max="17" width="0" hidden="1" customWidth="1"/>
  </cols>
  <sheetData>
    <row r="1" spans="1:12" s="5" customFormat="1" x14ac:dyDescent="0.2">
      <c r="A1" s="14" t="s">
        <v>166</v>
      </c>
      <c r="B1" s="14"/>
      <c r="C1" s="7"/>
      <c r="D1" s="7"/>
      <c r="E1" s="7"/>
      <c r="F1" s="7"/>
      <c r="G1" s="7"/>
      <c r="H1" s="7"/>
      <c r="I1" s="7"/>
      <c r="J1" s="7"/>
      <c r="K1" s="7"/>
      <c r="L1" s="7"/>
    </row>
    <row r="3" spans="1:12" x14ac:dyDescent="0.2">
      <c r="A3" s="33" t="s">
        <v>1029</v>
      </c>
    </row>
    <row r="4" spans="1:12" x14ac:dyDescent="0.2">
      <c r="A4" s="33"/>
      <c r="B4" t="s">
        <v>1030</v>
      </c>
    </row>
    <row r="5" spans="1:12" x14ac:dyDescent="0.2">
      <c r="B5" t="s">
        <v>153</v>
      </c>
    </row>
    <row r="7" spans="1:12" x14ac:dyDescent="0.2">
      <c r="B7" t="s">
        <v>261</v>
      </c>
    </row>
    <row r="8" spans="1:12" x14ac:dyDescent="0.2">
      <c r="C8" t="s">
        <v>1031</v>
      </c>
    </row>
    <row r="10" spans="1:12" x14ac:dyDescent="0.2">
      <c r="B10" t="s">
        <v>154</v>
      </c>
    </row>
    <row r="11" spans="1:12" x14ac:dyDescent="0.2">
      <c r="C11" t="s">
        <v>1032</v>
      </c>
    </row>
    <row r="12" spans="1:12" x14ac:dyDescent="0.2">
      <c r="B12" s="23" t="s">
        <v>1033</v>
      </c>
    </row>
    <row r="13" spans="1:12" x14ac:dyDescent="0.2">
      <c r="B13" t="s">
        <v>260</v>
      </c>
    </row>
    <row r="15" spans="1:12" x14ac:dyDescent="0.2">
      <c r="A15" s="33" t="s">
        <v>522</v>
      </c>
    </row>
    <row r="16" spans="1:12" x14ac:dyDescent="0.2">
      <c r="A16" s="33"/>
    </row>
    <row r="17" spans="1:4" x14ac:dyDescent="0.2">
      <c r="B17" s="14" t="s">
        <v>363</v>
      </c>
      <c r="C17" s="3" t="s">
        <v>366</v>
      </c>
    </row>
    <row r="18" spans="1:4" x14ac:dyDescent="0.2">
      <c r="C18" s="3" t="s">
        <v>371</v>
      </c>
    </row>
    <row r="19" spans="1:4" x14ac:dyDescent="0.2">
      <c r="B19" s="33"/>
      <c r="C19" s="3" t="s">
        <v>367</v>
      </c>
    </row>
    <row r="20" spans="1:4" x14ac:dyDescent="0.2">
      <c r="B20" s="33"/>
      <c r="C20" s="3"/>
    </row>
    <row r="21" spans="1:4" x14ac:dyDescent="0.2">
      <c r="B21" s="14" t="s">
        <v>364</v>
      </c>
      <c r="C21" s="3" t="s">
        <v>368</v>
      </c>
    </row>
    <row r="22" spans="1:4" x14ac:dyDescent="0.2">
      <c r="C22" s="3" t="s">
        <v>372</v>
      </c>
    </row>
    <row r="23" spans="1:4" x14ac:dyDescent="0.2">
      <c r="B23" s="33"/>
      <c r="C23" s="3" t="s">
        <v>369</v>
      </c>
    </row>
    <row r="24" spans="1:4" x14ac:dyDescent="0.2">
      <c r="B24" s="33"/>
      <c r="C24" s="3"/>
    </row>
    <row r="25" spans="1:4" x14ac:dyDescent="0.2">
      <c r="B25" s="14" t="s">
        <v>365</v>
      </c>
      <c r="C25" s="3" t="s">
        <v>370</v>
      </c>
    </row>
    <row r="26" spans="1:4" x14ac:dyDescent="0.2">
      <c r="C26" s="3" t="s">
        <v>373</v>
      </c>
    </row>
    <row r="27" spans="1:4" x14ac:dyDescent="0.2">
      <c r="C27" s="3" t="s">
        <v>374</v>
      </c>
    </row>
    <row r="29" spans="1:4" s="38" customFormat="1" x14ac:dyDescent="0.2">
      <c r="A29" s="9" t="s">
        <v>98</v>
      </c>
      <c r="B29" s="9"/>
      <c r="C29" s="9"/>
      <c r="D29" s="9"/>
    </row>
    <row r="30" spans="1:4" x14ac:dyDescent="0.2">
      <c r="A30" s="16" t="s">
        <v>99</v>
      </c>
      <c r="B30" s="16" t="s">
        <v>1034</v>
      </c>
      <c r="C30" s="16"/>
    </row>
    <row r="31" spans="1:4" x14ac:dyDescent="0.2">
      <c r="A31" s="16"/>
      <c r="B31" s="21" t="s">
        <v>1035</v>
      </c>
    </row>
    <row r="32" spans="1:4" x14ac:dyDescent="0.2">
      <c r="A32" s="16"/>
      <c r="B32" s="21" t="s">
        <v>923</v>
      </c>
      <c r="C32" s="21"/>
    </row>
    <row r="33" spans="1:19" s="28" customFormat="1" ht="13.5" thickBot="1" x14ac:dyDescent="0.25"/>
    <row r="34" spans="1:19" s="27" customFormat="1" x14ac:dyDescent="0.2">
      <c r="A34" s="8" t="s">
        <v>929</v>
      </c>
      <c r="B34" s="8"/>
      <c r="C34" s="8"/>
      <c r="D34" s="8"/>
      <c r="E34" s="8"/>
      <c r="F34" s="8"/>
    </row>
    <row r="36" spans="1:19" x14ac:dyDescent="0.2">
      <c r="A36" s="82" t="s">
        <v>432</v>
      </c>
      <c r="B36" s="11"/>
      <c r="C36" s="11"/>
      <c r="D36" s="11"/>
      <c r="E36" s="11"/>
    </row>
    <row r="37" spans="1:19" x14ac:dyDescent="0.2">
      <c r="B37" t="s">
        <v>1101</v>
      </c>
    </row>
    <row r="39" spans="1:19" x14ac:dyDescent="0.2">
      <c r="A39" s="82" t="s">
        <v>157</v>
      </c>
      <c r="B39" s="11"/>
      <c r="C39" s="11"/>
      <c r="D39" s="11"/>
      <c r="L39" s="1"/>
      <c r="M39" s="1"/>
      <c r="N39" s="1"/>
    </row>
    <row r="40" spans="1:19" x14ac:dyDescent="0.2">
      <c r="A40" s="35"/>
      <c r="B40" t="s">
        <v>177</v>
      </c>
      <c r="L40" s="1"/>
      <c r="M40" s="1"/>
      <c r="N40" s="1"/>
    </row>
    <row r="41" spans="1:19" x14ac:dyDescent="0.2">
      <c r="A41" s="35"/>
      <c r="B41" t="s">
        <v>1141</v>
      </c>
      <c r="H41" s="19" t="s">
        <v>937</v>
      </c>
      <c r="I41" s="19" t="s">
        <v>938</v>
      </c>
      <c r="J41" s="19" t="s">
        <v>939</v>
      </c>
      <c r="K41" s="19" t="s">
        <v>940</v>
      </c>
      <c r="L41" s="1"/>
      <c r="M41" s="1"/>
      <c r="N41" s="1"/>
      <c r="O41" s="34"/>
      <c r="P41" s="1"/>
      <c r="Q41" s="34"/>
      <c r="R41" s="34"/>
      <c r="S41" s="1"/>
    </row>
    <row r="42" spans="1:19" x14ac:dyDescent="0.2">
      <c r="A42" s="80" t="s">
        <v>610</v>
      </c>
      <c r="B42" s="67" t="s">
        <v>1111</v>
      </c>
      <c r="C42" s="2"/>
      <c r="D42" s="2"/>
      <c r="E42" s="2"/>
      <c r="F42" s="59"/>
      <c r="G42" s="1" t="s">
        <v>936</v>
      </c>
      <c r="H42" s="19">
        <f>VALUE(MID(B42,1,H43-1))</f>
        <v>0</v>
      </c>
      <c r="I42" s="19">
        <f>VALUE(MID(B42,H43+1,I43-H43-1))</f>
        <v>1.8978999999999999E-2</v>
      </c>
      <c r="J42" s="19">
        <f>VALUE(MID(B42,I43+1,J43-I43-1))</f>
        <v>0</v>
      </c>
      <c r="K42" s="19">
        <f>VALUE(MID(B42,J43+1,K43-J43))</f>
        <v>0.99982000000000004</v>
      </c>
      <c r="L42" s="1"/>
      <c r="M42" s="1"/>
      <c r="N42" s="1"/>
      <c r="O42" s="1"/>
      <c r="P42" s="1"/>
      <c r="Q42" s="1"/>
      <c r="R42" s="59"/>
      <c r="S42" s="1"/>
    </row>
    <row r="43" spans="1:19" hidden="1" x14ac:dyDescent="0.2">
      <c r="D43" s="15"/>
      <c r="H43" s="1">
        <f>SEARCH(" ",B42,1)</f>
        <v>9</v>
      </c>
      <c r="I43" s="1">
        <f>SEARCH(" ",B42,H43+1)</f>
        <v>18</v>
      </c>
      <c r="J43" s="1">
        <f>SEARCH(" ",B42,I43+1)</f>
        <v>27</v>
      </c>
      <c r="K43" s="1">
        <f>LEN(B42)</f>
        <v>35</v>
      </c>
      <c r="L43" s="19"/>
      <c r="M43" s="2"/>
      <c r="N43" s="2"/>
      <c r="O43" s="2"/>
      <c r="P43" s="2"/>
      <c r="Q43" s="2"/>
      <c r="R43" s="2"/>
      <c r="S43" s="2"/>
    </row>
    <row r="44" spans="1:19" hidden="1" x14ac:dyDescent="0.2">
      <c r="D44" s="15"/>
      <c r="G44" s="1" t="s">
        <v>941</v>
      </c>
      <c r="H44" s="1" t="s">
        <v>940</v>
      </c>
      <c r="I44" s="1" t="s">
        <v>938</v>
      </c>
      <c r="J44" s="1" t="s">
        <v>937</v>
      </c>
      <c r="K44" s="1" t="s">
        <v>939</v>
      </c>
      <c r="L44" s="19" t="s">
        <v>36</v>
      </c>
      <c r="M44" s="19" t="s">
        <v>37</v>
      </c>
      <c r="N44" s="19" t="s">
        <v>38</v>
      </c>
      <c r="O44" s="37" t="s">
        <v>882</v>
      </c>
      <c r="P44" s="4" t="s">
        <v>881</v>
      </c>
      <c r="Q44" s="4" t="s">
        <v>499</v>
      </c>
      <c r="R44" s="2"/>
      <c r="S44" s="2"/>
    </row>
    <row r="45" spans="1:19" hidden="1" x14ac:dyDescent="0.2">
      <c r="D45" s="15"/>
      <c r="H45" s="19">
        <f>K42</f>
        <v>0.99982000000000004</v>
      </c>
      <c r="I45" s="19">
        <f>I42</f>
        <v>1.8978999999999999E-2</v>
      </c>
      <c r="J45" s="19">
        <f>H42</f>
        <v>0</v>
      </c>
      <c r="K45" s="19">
        <f>J42</f>
        <v>0</v>
      </c>
      <c r="L45" s="21">
        <f>-2*H45*I45+2*J45*K45</f>
        <v>-3.7951167559999999E-2</v>
      </c>
      <c r="M45" s="21">
        <f>2*H45*J45+2*I45*K45</f>
        <v>0</v>
      </c>
      <c r="N45" s="21">
        <f>H45*H45-I45*I45-J45*J45+K45*K45</f>
        <v>0.99927982995900011</v>
      </c>
      <c r="O45" s="37">
        <f>IF(ABS(M45)&lt;0.99999,ATAN(M45/SQRT(L45*L45+N45*N45)),SIGN(M45)*1000)</f>
        <v>0</v>
      </c>
      <c r="P45" s="4">
        <f>IF(ABS(M45)&lt;0.99999,180/PI()*ATAN(M45/SQRT(L45*L45+N45*N45)),SIGN(M45)*90)</f>
        <v>0</v>
      </c>
      <c r="Q45" s="4">
        <f>IF(ABS(L45)&gt;0.00001,IF(L45&gt;0,90-180/PI()*ATAN(N45/L45),-90-180/PI()*ATAN(N45/L45)),-90+SIGN(N45)*90)</f>
        <v>-2.1749635278804789</v>
      </c>
      <c r="R45" s="2"/>
      <c r="S45" s="2"/>
    </row>
    <row r="46" spans="1:19" s="45" customFormat="1" hidden="1" x14ac:dyDescent="0.2">
      <c r="A46" s="46"/>
      <c r="C46" s="51" t="s">
        <v>894</v>
      </c>
      <c r="D46" s="51" t="s">
        <v>524</v>
      </c>
      <c r="E46" s="51">
        <v>0</v>
      </c>
      <c r="G46" s="1"/>
      <c r="H46" s="1" t="s">
        <v>860</v>
      </c>
      <c r="I46" s="1" t="s">
        <v>861</v>
      </c>
      <c r="J46" s="1" t="s">
        <v>862</v>
      </c>
      <c r="K46" s="1" t="s">
        <v>863</v>
      </c>
      <c r="L46" s="1"/>
      <c r="M46" s="1" t="s">
        <v>163</v>
      </c>
      <c r="N46" s="1" t="s">
        <v>526</v>
      </c>
      <c r="O46" s="1" t="s">
        <v>527</v>
      </c>
    </row>
    <row r="47" spans="1:19" s="45" customFormat="1" hidden="1" x14ac:dyDescent="0.2">
      <c r="A47" s="46"/>
      <c r="D47" s="51" t="s">
        <v>525</v>
      </c>
      <c r="E47" s="51">
        <v>0</v>
      </c>
      <c r="G47" s="1" t="s">
        <v>864</v>
      </c>
      <c r="H47" s="19">
        <f>M47*N47*O47+M48*N48*O48</f>
        <v>0.99981988260065635</v>
      </c>
      <c r="I47" s="19">
        <f>M48*N47*O47-M47*N48*O48</f>
        <v>-1.8978997771476748E-2</v>
      </c>
      <c r="J47" s="19">
        <f>M47*N48*O47+M48*N47*O48</f>
        <v>0</v>
      </c>
      <c r="K47" s="19">
        <f>M47*N47*O48-M48*N48*O47</f>
        <v>0</v>
      </c>
      <c r="L47" s="20" t="s">
        <v>34</v>
      </c>
      <c r="M47" s="1">
        <f>COS(-0.5*E48*PI()/180)</f>
        <v>0.99981988260065635</v>
      </c>
      <c r="N47" s="1">
        <f>COS(0.5*E47*PI()/180)</f>
        <v>1</v>
      </c>
      <c r="O47" s="1">
        <f>COS(0.5*E46*PI()/180)</f>
        <v>1</v>
      </c>
    </row>
    <row r="48" spans="1:19" s="45" customFormat="1" hidden="1" x14ac:dyDescent="0.2">
      <c r="A48" s="46"/>
      <c r="D48" s="51" t="s">
        <v>164</v>
      </c>
      <c r="E48" s="51">
        <f>-Q45</f>
        <v>2.1749635278804789</v>
      </c>
      <c r="G48" s="1" t="s">
        <v>421</v>
      </c>
      <c r="H48" s="19">
        <f>H47*H45-I47*I45-J47*J45-K47*K45</f>
        <v>1.0000001174204931</v>
      </c>
      <c r="I48" s="19">
        <f>H47*I45+I47*H45+J47*K45-K47*J45</f>
        <v>-2.4286128663675299E-17</v>
      </c>
      <c r="J48" s="19">
        <f>H47*J45-I47*K45+J47*H45+K47*I45</f>
        <v>0</v>
      </c>
      <c r="K48" s="19">
        <f>H47*K45+I47*J45-J47*I45+K47*H45</f>
        <v>0</v>
      </c>
      <c r="L48" s="20" t="s">
        <v>35</v>
      </c>
      <c r="M48" s="1">
        <f>SIN(-0.5*E48*PI()/180)</f>
        <v>-1.8978997771476748E-2</v>
      </c>
      <c r="N48" s="1">
        <f>SIN(0.5*E47*PI()/180)</f>
        <v>0</v>
      </c>
      <c r="O48" s="1">
        <f>SIN(0.5*E46*PI()/180)</f>
        <v>0</v>
      </c>
    </row>
    <row r="49" spans="1:20" s="45" customFormat="1" hidden="1" x14ac:dyDescent="0.2">
      <c r="A49" s="46"/>
      <c r="E49" s="51"/>
      <c r="G49" s="1" t="s">
        <v>848</v>
      </c>
      <c r="H49" s="1">
        <f>J48</f>
        <v>0</v>
      </c>
      <c r="I49" s="1">
        <f>I48</f>
        <v>-2.4286128663675299E-17</v>
      </c>
      <c r="J49" s="1">
        <f>K48</f>
        <v>0</v>
      </c>
      <c r="K49" s="1">
        <f>H48</f>
        <v>1.0000001174204931</v>
      </c>
      <c r="L49" s="20"/>
      <c r="M49" s="1"/>
      <c r="N49" s="1"/>
      <c r="O49" s="1"/>
    </row>
    <row r="50" spans="1:20" s="45" customFormat="1" hidden="1" x14ac:dyDescent="0.2">
      <c r="A50" s="46"/>
      <c r="E50" s="51"/>
      <c r="G50" s="1"/>
      <c r="H50" s="19" t="s">
        <v>36</v>
      </c>
      <c r="I50" s="19" t="s">
        <v>37</v>
      </c>
      <c r="J50" s="19" t="s">
        <v>38</v>
      </c>
      <c r="K50" s="19" t="s">
        <v>882</v>
      </c>
      <c r="L50" s="21" t="s">
        <v>881</v>
      </c>
      <c r="M50" s="53" t="s">
        <v>523</v>
      </c>
      <c r="N50" s="19"/>
      <c r="O50" s="19"/>
    </row>
    <row r="51" spans="1:20" s="45" customFormat="1" hidden="1" x14ac:dyDescent="0.2">
      <c r="A51" s="46"/>
      <c r="E51" s="51"/>
      <c r="G51" s="1" t="s">
        <v>39</v>
      </c>
      <c r="H51" s="19">
        <f>-2*H48*I48+2*J48*K48</f>
        <v>4.8572263030729007E-17</v>
      </c>
      <c r="I51" s="19">
        <f>2*H48*J48+2*I48*K48</f>
        <v>0</v>
      </c>
      <c r="J51" s="19">
        <f>H48*H48-I48*I48-J48*J48+K48*K48</f>
        <v>1.000000234841</v>
      </c>
      <c r="K51" s="19">
        <f>IF(ABS(I51)&lt;0.99999,ATAN(I51/SQRT(H51*H51+J51*J51)),SIGN(I51)*1000)</f>
        <v>0</v>
      </c>
      <c r="L51" s="21">
        <f>IF(ABS(I51)&lt;0.99999,180/PI()*ATAN(I51/SQRT(H51*H51+J51*J51)),SIGN(I51)*90)</f>
        <v>0</v>
      </c>
      <c r="M51" s="20">
        <f>IF(ABS(H51)&gt;0.00001,IF(H51&gt;0,90-180/PI()*ATAN(J51/H51),-90-180/PI()*ATAN(J51/H51)),-90+SIGN(J51)*90)</f>
        <v>0</v>
      </c>
      <c r="N51" s="19"/>
      <c r="O51" s="19"/>
    </row>
    <row r="52" spans="1:20" s="45" customFormat="1" hidden="1" x14ac:dyDescent="0.2">
      <c r="A52" s="46"/>
      <c r="E52" s="51"/>
    </row>
    <row r="53" spans="1:20" s="45" customFormat="1" hidden="1" x14ac:dyDescent="0.2">
      <c r="A53" s="46"/>
      <c r="C53" s="51" t="s">
        <v>895</v>
      </c>
      <c r="D53" s="51" t="s">
        <v>524</v>
      </c>
      <c r="E53" s="51">
        <v>0</v>
      </c>
      <c r="G53" s="1"/>
      <c r="H53" s="1" t="s">
        <v>860</v>
      </c>
      <c r="I53" s="1" t="s">
        <v>861</v>
      </c>
      <c r="J53" s="1" t="s">
        <v>862</v>
      </c>
      <c r="K53" s="1" t="s">
        <v>863</v>
      </c>
      <c r="L53" s="1"/>
      <c r="M53" s="1" t="s">
        <v>163</v>
      </c>
      <c r="N53" s="1" t="s">
        <v>526</v>
      </c>
      <c r="O53" s="1" t="s">
        <v>527</v>
      </c>
    </row>
    <row r="54" spans="1:20" s="45" customFormat="1" hidden="1" x14ac:dyDescent="0.2">
      <c r="A54" s="46"/>
      <c r="D54" s="51" t="s">
        <v>525</v>
      </c>
      <c r="E54" s="51">
        <f>-P45</f>
        <v>0</v>
      </c>
      <c r="G54" s="1" t="s">
        <v>864</v>
      </c>
      <c r="H54" s="19">
        <f>M54*N54*O54+M55*N55*O55</f>
        <v>1</v>
      </c>
      <c r="I54" s="19">
        <f>M55*N54*O54-M54*N55*O55</f>
        <v>0</v>
      </c>
      <c r="J54" s="19">
        <f>M54*N55*O54+M55*N54*O55</f>
        <v>0</v>
      </c>
      <c r="K54" s="19">
        <f>M54*N54*O55-M55*N55*O54</f>
        <v>0</v>
      </c>
      <c r="L54" s="20" t="s">
        <v>34</v>
      </c>
      <c r="M54" s="1">
        <f>COS(-0.5*E55*PI()/180)</f>
        <v>1</v>
      </c>
      <c r="N54" s="1">
        <f>COS(0.5*E54*PI()/180)</f>
        <v>1</v>
      </c>
      <c r="O54" s="1">
        <f>COS(0.5*E53*PI()/180)</f>
        <v>1</v>
      </c>
    </row>
    <row r="55" spans="1:20" s="45" customFormat="1" hidden="1" x14ac:dyDescent="0.2">
      <c r="A55" s="46"/>
      <c r="D55" s="51" t="s">
        <v>164</v>
      </c>
      <c r="E55" s="51">
        <v>0</v>
      </c>
      <c r="G55" s="1" t="s">
        <v>351</v>
      </c>
      <c r="H55" s="19">
        <f>H54*H48-I54*I48-J54*J48-K54*K48</f>
        <v>1.0000001174204931</v>
      </c>
      <c r="I55" s="19">
        <f>H54*I48+I54*H48+J54*K48-K54*J48</f>
        <v>-2.4286128663675299E-17</v>
      </c>
      <c r="J55" s="19">
        <f>H54*J48-I54*K48+J54*H48+K54*I48</f>
        <v>0</v>
      </c>
      <c r="K55" s="19">
        <f>H54*K48+I54*J48-J54*I48+K54*H48</f>
        <v>0</v>
      </c>
      <c r="L55" s="20" t="s">
        <v>35</v>
      </c>
      <c r="M55" s="1">
        <f>SIN(-0.5*E55*PI()/180)</f>
        <v>0</v>
      </c>
      <c r="N55" s="1">
        <f>SIN(0.5*E54*PI()/180)</f>
        <v>0</v>
      </c>
      <c r="O55" s="1">
        <f>SIN(0.5*E53*PI()/180)</f>
        <v>0</v>
      </c>
    </row>
    <row r="56" spans="1:20" s="45" customFormat="1" hidden="1" x14ac:dyDescent="0.2">
      <c r="A56" s="46"/>
      <c r="G56" s="1" t="s">
        <v>848</v>
      </c>
      <c r="H56" s="1">
        <f>J55</f>
        <v>0</v>
      </c>
      <c r="I56" s="1">
        <f>I55</f>
        <v>-2.4286128663675299E-17</v>
      </c>
      <c r="J56" s="1">
        <f>K55</f>
        <v>0</v>
      </c>
      <c r="K56" s="1">
        <f>H55</f>
        <v>1.0000001174204931</v>
      </c>
      <c r="L56" s="53" t="s">
        <v>529</v>
      </c>
      <c r="M56" s="1"/>
      <c r="N56" s="1"/>
      <c r="O56" s="1">
        <f>SIGN(I55+J55+K55+0.000001)</f>
        <v>1</v>
      </c>
    </row>
    <row r="57" spans="1:20" s="45" customFormat="1" hidden="1" x14ac:dyDescent="0.2">
      <c r="A57" s="46"/>
      <c r="G57" s="1"/>
      <c r="H57" s="19" t="s">
        <v>36</v>
      </c>
      <c r="I57" s="19" t="s">
        <v>37</v>
      </c>
      <c r="J57" s="19" t="s">
        <v>38</v>
      </c>
      <c r="K57" s="19" t="s">
        <v>882</v>
      </c>
      <c r="L57" s="19" t="s">
        <v>881</v>
      </c>
      <c r="M57" s="19" t="s">
        <v>523</v>
      </c>
      <c r="N57" s="21" t="s">
        <v>528</v>
      </c>
      <c r="O57" s="19"/>
    </row>
    <row r="58" spans="1:20" s="45" customFormat="1" hidden="1" x14ac:dyDescent="0.2">
      <c r="A58" s="46"/>
      <c r="G58" s="1" t="s">
        <v>39</v>
      </c>
      <c r="H58" s="19">
        <f>-2*H55*I55+2*J55*K55</f>
        <v>4.8572263030729007E-17</v>
      </c>
      <c r="I58" s="19">
        <f>2*H55*J55+2*I55*K55</f>
        <v>0</v>
      </c>
      <c r="J58" s="19">
        <f>H55*H55-I55*I55-J55*J55+K55*K55</f>
        <v>1.000000234841</v>
      </c>
      <c r="K58" s="19">
        <f>IF(ABS(I58)&lt;0.99999,ATAN(I58/SQRT(H58*H58+J58*J58)),SIGN(I58)*1000)</f>
        <v>0</v>
      </c>
      <c r="L58" s="19">
        <f>IF(ABS(I58)&lt;0.99999,180/PI()*ATAN(I58/SQRT(H58*H58+J58*J58)),SIGN(I58)*90)</f>
        <v>0</v>
      </c>
      <c r="M58" s="19">
        <f>IF(ABS(H58)&gt;0.00001,IF(H58&gt;0,90-180/PI()*ATAN(J58/H58),-90-180/PI()*ATAN(J58/H58)),-90+SIGN(J58)*90)</f>
        <v>0</v>
      </c>
      <c r="N58" s="21">
        <f>IF(ABS(H55)&lt;0.9999999,O56*2*180/PI()*ACOS(H55),0)</f>
        <v>0</v>
      </c>
      <c r="O58" s="19"/>
      <c r="T58"/>
    </row>
    <row r="59" spans="1:20" s="45" customFormat="1" hidden="1" x14ac:dyDescent="0.2">
      <c r="A59" s="46"/>
      <c r="G59" s="1"/>
      <c r="H59" s="19"/>
      <c r="I59" s="19"/>
      <c r="J59" s="19"/>
      <c r="K59" s="19"/>
      <c r="L59" s="19"/>
      <c r="M59" s="19"/>
      <c r="N59" s="21"/>
      <c r="O59" s="19"/>
      <c r="T59"/>
    </row>
    <row r="60" spans="1:20" hidden="1" x14ac:dyDescent="0.2">
      <c r="A60" s="46"/>
      <c r="B60" s="45"/>
      <c r="C60" s="51" t="s">
        <v>167</v>
      </c>
      <c r="D60" s="51" t="s">
        <v>524</v>
      </c>
      <c r="E60" s="51">
        <f>N58</f>
        <v>0</v>
      </c>
      <c r="F60" s="51" t="s">
        <v>1076</v>
      </c>
      <c r="G60" s="1" t="s">
        <v>902</v>
      </c>
      <c r="H60" s="1">
        <v>0.70710678118654757</v>
      </c>
      <c r="I60" s="1">
        <v>-0.70710678118654746</v>
      </c>
      <c r="J60" s="1">
        <v>0</v>
      </c>
      <c r="K60" s="1">
        <v>0</v>
      </c>
      <c r="L60" s="1"/>
      <c r="M60" s="1" t="s">
        <v>163</v>
      </c>
      <c r="N60" s="1" t="s">
        <v>526</v>
      </c>
      <c r="O60" s="1" t="s">
        <v>527</v>
      </c>
    </row>
    <row r="61" spans="1:20" hidden="1" x14ac:dyDescent="0.2">
      <c r="A61" s="46"/>
      <c r="B61" s="45"/>
      <c r="C61" s="51" t="s">
        <v>905</v>
      </c>
      <c r="D61" s="51" t="s">
        <v>525</v>
      </c>
      <c r="E61" s="51">
        <v>0</v>
      </c>
      <c r="F61" s="51" t="s">
        <v>1076</v>
      </c>
      <c r="G61" s="1" t="s">
        <v>942</v>
      </c>
      <c r="H61" s="19">
        <f>M61*N61*O61+M62*N62*O62</f>
        <v>1</v>
      </c>
      <c r="I61" s="19">
        <f>M62*N61*O61-M61*N62*O62</f>
        <v>0</v>
      </c>
      <c r="J61" s="19">
        <f>M61*N62*O61+M62*N61*O62</f>
        <v>0</v>
      </c>
      <c r="K61" s="19">
        <f>M61*N61*O62-M62*N62*O61</f>
        <v>0</v>
      </c>
      <c r="L61" s="20" t="s">
        <v>34</v>
      </c>
      <c r="M61" s="1">
        <f>COS(-0.5*E62*PI()/180)</f>
        <v>1</v>
      </c>
      <c r="N61" s="1">
        <f>COS(0.5*E61*PI()/180)</f>
        <v>1</v>
      </c>
      <c r="O61" s="1">
        <f>COS(0.5*E60*PI()/180)</f>
        <v>1</v>
      </c>
    </row>
    <row r="62" spans="1:20" hidden="1" x14ac:dyDescent="0.2">
      <c r="A62" s="46"/>
      <c r="B62" s="45"/>
      <c r="C62" s="45"/>
      <c r="D62" s="51" t="s">
        <v>164</v>
      </c>
      <c r="E62" s="51">
        <v>0</v>
      </c>
      <c r="F62" s="51" t="s">
        <v>1076</v>
      </c>
      <c r="G62" s="1" t="s">
        <v>943</v>
      </c>
      <c r="H62" s="19">
        <f>H61*H60-I61*I60-J61*J60-K61*K60</f>
        <v>0.70710678118654757</v>
      </c>
      <c r="I62" s="19">
        <f>H61*I60+I61*H60+J61*K60-K61*J60</f>
        <v>-0.70710678118654746</v>
      </c>
      <c r="J62" s="19">
        <f>H61*J60-I61*K60+J61*H60+K61*I60</f>
        <v>0</v>
      </c>
      <c r="K62" s="19">
        <f>H61*K60+I61*J60-J61*I60+K61*H60</f>
        <v>0</v>
      </c>
      <c r="L62" s="20" t="s">
        <v>35</v>
      </c>
      <c r="M62" s="1">
        <f>SIN(-0.5*E62*PI()/180)</f>
        <v>0</v>
      </c>
      <c r="N62" s="1">
        <f>SIN(0.5*E61*PI()/180)</f>
        <v>0</v>
      </c>
      <c r="O62" s="1">
        <f>SIN(0.5*E60*PI()/180)</f>
        <v>0</v>
      </c>
    </row>
    <row r="63" spans="1:20" hidden="1" x14ac:dyDescent="0.2">
      <c r="A63" s="26" t="str">
        <f>T(IF(SIGN(ABS(E60))+SIGN(ABS(E61))+SIGN(ABS(E62))&gt;1,"NEED TWO ZERO ANGLES ABOVE!!",""))</f>
        <v/>
      </c>
      <c r="C63" s="12"/>
      <c r="E63" s="15"/>
      <c r="G63" s="1" t="s">
        <v>848</v>
      </c>
      <c r="H63" s="1">
        <f>J62</f>
        <v>0</v>
      </c>
      <c r="I63" s="1">
        <f>I62</f>
        <v>-0.70710678118654746</v>
      </c>
      <c r="J63" s="1">
        <f>K62</f>
        <v>0</v>
      </c>
      <c r="K63" s="1">
        <f>H62</f>
        <v>0.70710678118654757</v>
      </c>
      <c r="L63" s="20"/>
      <c r="M63" s="1"/>
      <c r="N63" s="1"/>
      <c r="O63" s="1"/>
    </row>
    <row r="64" spans="1:20" hidden="1" x14ac:dyDescent="0.2">
      <c r="A64" s="26"/>
      <c r="G64" s="1"/>
      <c r="H64" s="19" t="s">
        <v>36</v>
      </c>
      <c r="I64" s="19" t="s">
        <v>37</v>
      </c>
      <c r="J64" s="19" t="s">
        <v>38</v>
      </c>
      <c r="K64" s="19" t="s">
        <v>882</v>
      </c>
      <c r="L64" s="19" t="s">
        <v>881</v>
      </c>
      <c r="M64" s="19" t="s">
        <v>523</v>
      </c>
      <c r="N64" s="19"/>
      <c r="O64" s="19"/>
    </row>
    <row r="65" spans="1:17" hidden="1" x14ac:dyDescent="0.2">
      <c r="G65" s="1" t="s">
        <v>39</v>
      </c>
      <c r="H65" s="19">
        <f>-2*H62*I62+2*J62*K62</f>
        <v>1</v>
      </c>
      <c r="I65" s="19">
        <f>2*H62*J62+2*I62*K62</f>
        <v>0</v>
      </c>
      <c r="J65" s="19">
        <f>H62*H62-I62*I62-J62*J62+K62*K62</f>
        <v>2.2204460492503131E-16</v>
      </c>
      <c r="K65" s="19">
        <f>IF(ABS(I65)&lt;0.99999,ATAN(I65/SQRT(H65*H65+J65*J65)),SIGN(I65)*1000)</f>
        <v>0</v>
      </c>
      <c r="L65" s="19">
        <f>IF(ABS(I65)&lt;0.99999,180/PI()*ATAN(I65/SQRT(H65*H65+J65*J65)),SIGN(I65)*90)</f>
        <v>0</v>
      </c>
      <c r="M65" s="19">
        <f>IF(ABS(H65)&gt;0.00001,IF(H65&gt;0,90+180/PI()*ATAN(J65/H65),-90-180/PI()*ATAN(J65/H65)),-90+SIGN(J65)*90)</f>
        <v>90.000000000000014</v>
      </c>
      <c r="N65" s="19"/>
      <c r="O65" s="19"/>
    </row>
    <row r="66" spans="1:17" hidden="1" x14ac:dyDescent="0.2">
      <c r="G66" s="1"/>
      <c r="H66" s="1"/>
      <c r="I66" s="1"/>
      <c r="J66" s="1"/>
      <c r="K66" s="1"/>
      <c r="L66" s="1"/>
      <c r="M66" s="1"/>
      <c r="N66" s="1"/>
      <c r="O66" s="1"/>
    </row>
    <row r="67" spans="1:17" hidden="1" x14ac:dyDescent="0.2">
      <c r="A67" s="46"/>
      <c r="B67" s="45"/>
      <c r="C67" s="51"/>
      <c r="D67" s="51" t="s">
        <v>524</v>
      </c>
      <c r="E67" s="51">
        <v>0</v>
      </c>
      <c r="F67" s="1" t="s">
        <v>1076</v>
      </c>
      <c r="G67" s="1"/>
      <c r="H67" s="1" t="s">
        <v>850</v>
      </c>
      <c r="I67" s="1" t="s">
        <v>851</v>
      </c>
      <c r="J67" s="1" t="s">
        <v>852</v>
      </c>
      <c r="K67" s="1" t="s">
        <v>853</v>
      </c>
      <c r="L67" s="1"/>
      <c r="M67" s="1" t="s">
        <v>163</v>
      </c>
      <c r="N67" s="1" t="s">
        <v>526</v>
      </c>
      <c r="O67" s="1" t="s">
        <v>527</v>
      </c>
    </row>
    <row r="68" spans="1:17" hidden="1" x14ac:dyDescent="0.2">
      <c r="A68" s="46"/>
      <c r="B68" s="45"/>
      <c r="C68" s="45"/>
      <c r="D68" s="51" t="s">
        <v>525</v>
      </c>
      <c r="E68" s="51">
        <f>P45</f>
        <v>0</v>
      </c>
      <c r="F68" s="1" t="s">
        <v>1076</v>
      </c>
      <c r="G68" s="1" t="s">
        <v>855</v>
      </c>
      <c r="H68" s="19">
        <f>M68*N68*O68+M69*N69*O69</f>
        <v>1</v>
      </c>
      <c r="I68" s="19">
        <f>M69*N68*O68-M68*N69*O69</f>
        <v>0</v>
      </c>
      <c r="J68" s="19">
        <f>M68*N69*O68+M69*N68*O69</f>
        <v>0</v>
      </c>
      <c r="K68" s="19">
        <f>M68*N68*O69-M69*N69*O68</f>
        <v>0</v>
      </c>
      <c r="L68" s="20" t="s">
        <v>34</v>
      </c>
      <c r="M68" s="1">
        <f>COS(-0.5*E69*PI()/180)</f>
        <v>1</v>
      </c>
      <c r="N68" s="1">
        <f>COS(0.5*E68*PI()/180)</f>
        <v>1</v>
      </c>
      <c r="O68" s="1">
        <f>COS(0.5*E67*PI()/180)</f>
        <v>1</v>
      </c>
    </row>
    <row r="69" spans="1:17" hidden="1" x14ac:dyDescent="0.2">
      <c r="A69" s="46"/>
      <c r="B69" s="45"/>
      <c r="C69" s="45"/>
      <c r="D69" s="51" t="s">
        <v>164</v>
      </c>
      <c r="E69" s="51">
        <v>0</v>
      </c>
      <c r="F69" s="1" t="s">
        <v>1076</v>
      </c>
      <c r="G69" s="1" t="s">
        <v>944</v>
      </c>
      <c r="H69" s="19">
        <f>H68*H62-I68*I62-J68*J62-K68*K62</f>
        <v>0.70710678118654757</v>
      </c>
      <c r="I69" s="19">
        <f>H68*I62+I68*H62+J68*K62-K68*J62</f>
        <v>-0.70710678118654746</v>
      </c>
      <c r="J69" s="19">
        <f>H68*J62-I68*K62+J68*H62+K68*I62</f>
        <v>0</v>
      </c>
      <c r="K69" s="19">
        <f>H68*K62+I68*J62-J68*I62+K68*H62</f>
        <v>0</v>
      </c>
      <c r="L69" s="20" t="s">
        <v>35</v>
      </c>
      <c r="M69" s="1">
        <f>SIN(-0.5*E69*PI()/180)</f>
        <v>0</v>
      </c>
      <c r="N69" s="1">
        <f>SIN(0.5*E68*PI()/180)</f>
        <v>0</v>
      </c>
      <c r="O69" s="1">
        <f>SIN(0.5*E67*PI()/180)</f>
        <v>0</v>
      </c>
    </row>
    <row r="70" spans="1:17" hidden="1" x14ac:dyDescent="0.2">
      <c r="A70" s="1" t="str">
        <f>T(IF(SIGN(ABS(E67))+SIGN(ABS(E68))+SIGN(ABS(E69))&gt;1,"NEED TWO ZERO ANGLES ABOVE!!",""))</f>
        <v/>
      </c>
      <c r="B70" s="1"/>
      <c r="C70" s="1"/>
      <c r="D70" s="1"/>
      <c r="E70" s="1"/>
      <c r="F70" s="1"/>
      <c r="G70" s="1" t="s">
        <v>848</v>
      </c>
      <c r="H70" s="1">
        <f>J69</f>
        <v>0</v>
      </c>
      <c r="I70" s="1">
        <f>I69</f>
        <v>-0.70710678118654746</v>
      </c>
      <c r="J70" s="1">
        <f>K69</f>
        <v>0</v>
      </c>
      <c r="K70" s="1">
        <f>H69</f>
        <v>0.70710678118654757</v>
      </c>
      <c r="L70" s="20"/>
      <c r="M70" s="1"/>
      <c r="N70" s="1"/>
      <c r="O70" s="1"/>
    </row>
    <row r="71" spans="1:17" hidden="1" x14ac:dyDescent="0.2">
      <c r="A71" s="1"/>
      <c r="B71" s="1"/>
      <c r="C71" s="1"/>
      <c r="D71" s="1"/>
      <c r="E71" s="1"/>
      <c r="F71" s="1"/>
      <c r="G71" s="1"/>
      <c r="H71" s="19" t="s">
        <v>36</v>
      </c>
      <c r="I71" s="19" t="s">
        <v>37</v>
      </c>
      <c r="J71" s="19" t="s">
        <v>38</v>
      </c>
      <c r="K71" s="19" t="s">
        <v>882</v>
      </c>
      <c r="L71" s="19" t="s">
        <v>881</v>
      </c>
      <c r="M71" s="19" t="s">
        <v>523</v>
      </c>
      <c r="N71" s="19"/>
      <c r="O71" s="19"/>
    </row>
    <row r="72" spans="1:17" hidden="1" x14ac:dyDescent="0.2">
      <c r="A72" s="1"/>
      <c r="B72" s="1"/>
      <c r="C72" s="1"/>
      <c r="D72" s="1"/>
      <c r="E72" s="1"/>
      <c r="F72" s="1"/>
      <c r="G72" s="1" t="s">
        <v>39</v>
      </c>
      <c r="H72" s="19">
        <f>-2*H69*I69+2*J69*K69</f>
        <v>1</v>
      </c>
      <c r="I72" s="19">
        <f>2*H69*J69+2*I69*K69</f>
        <v>0</v>
      </c>
      <c r="J72" s="19">
        <f>H69*H69-I69*I69-J69*J69+K69*K69</f>
        <v>2.2204460492503131E-16</v>
      </c>
      <c r="K72" s="19">
        <f>IF(ABS(I72)&lt;0.99999,ATAN(I72/SQRT(H72*H72+J72*J72)),SIGN(I72)*1000)</f>
        <v>0</v>
      </c>
      <c r="L72" s="19">
        <f>IF(ABS(I72)&lt;0.99999,180/PI()*ATAN(I72/SQRT(H72*H72+J72*J72)),SIGN(I72)*90)</f>
        <v>0</v>
      </c>
      <c r="M72" s="19">
        <f>IF(ABS(H72)&gt;0.00001,IF(H72&gt;0,90-180/PI()*ATAN(J72/H72),-90-180/PI()*ATAN(J72/H72)),-90+SIGN(J72)*90)</f>
        <v>89.999999999999986</v>
      </c>
      <c r="N72" s="19"/>
      <c r="O72" s="19"/>
    </row>
    <row r="73" spans="1:17" hidden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7" hidden="1" x14ac:dyDescent="0.2">
      <c r="A74" s="46"/>
      <c r="B74" s="45"/>
      <c r="C74" s="51"/>
      <c r="D74" s="51" t="s">
        <v>524</v>
      </c>
      <c r="E74" s="51">
        <v>0</v>
      </c>
      <c r="F74" s="1" t="s">
        <v>1076</v>
      </c>
      <c r="G74" s="1"/>
      <c r="H74" s="1" t="s">
        <v>860</v>
      </c>
      <c r="I74" s="1" t="s">
        <v>861</v>
      </c>
      <c r="J74" s="1" t="s">
        <v>862</v>
      </c>
      <c r="K74" s="1" t="s">
        <v>863</v>
      </c>
      <c r="L74" s="1"/>
      <c r="M74" s="1" t="s">
        <v>163</v>
      </c>
      <c r="N74" s="1" t="s">
        <v>526</v>
      </c>
      <c r="O74" s="1" t="s">
        <v>527</v>
      </c>
    </row>
    <row r="75" spans="1:17" hidden="1" x14ac:dyDescent="0.2">
      <c r="A75" s="46"/>
      <c r="B75" s="45"/>
      <c r="C75" s="45"/>
      <c r="D75" s="51" t="s">
        <v>525</v>
      </c>
      <c r="E75" s="51">
        <v>0</v>
      </c>
      <c r="F75" s="1" t="s">
        <v>1076</v>
      </c>
      <c r="G75" s="1" t="s">
        <v>864</v>
      </c>
      <c r="H75" s="19">
        <f>M75*N75*O75+M76*N76*O76</f>
        <v>0.99981988260065635</v>
      </c>
      <c r="I75" s="19">
        <f>M76*N75*O75-M75*N76*O76</f>
        <v>1.8978997771476748E-2</v>
      </c>
      <c r="J75" s="19">
        <f>M75*N76*O75+M76*N75*O76</f>
        <v>0</v>
      </c>
      <c r="K75" s="19">
        <f>M75*N75*O76-M76*N76*O75</f>
        <v>0</v>
      </c>
      <c r="L75" s="20" t="s">
        <v>34</v>
      </c>
      <c r="M75" s="1">
        <f>COS(-0.5*E76*PI()/180)</f>
        <v>0.99981988260065635</v>
      </c>
      <c r="N75" s="1">
        <f>COS(0.5*E75*PI()/180)</f>
        <v>1</v>
      </c>
      <c r="O75" s="1">
        <f>COS(0.5*E74*PI()/180)</f>
        <v>1</v>
      </c>
    </row>
    <row r="76" spans="1:17" hidden="1" x14ac:dyDescent="0.2">
      <c r="A76" s="46"/>
      <c r="B76" s="45"/>
      <c r="C76" s="45"/>
      <c r="D76" s="51" t="s">
        <v>164</v>
      </c>
      <c r="E76" s="51">
        <f>Q45</f>
        <v>-2.1749635278804789</v>
      </c>
      <c r="F76" s="1" t="s">
        <v>1076</v>
      </c>
      <c r="G76" s="1" t="s">
        <v>865</v>
      </c>
      <c r="H76" s="19">
        <f>H75*H69-I75*I69-J75*J69-K75*K69</f>
        <v>0.72039959697639755</v>
      </c>
      <c r="I76" s="19">
        <f>H75*I69+I75*H69+J75*K69-K75*J69</f>
        <v>-0.69355924092772625</v>
      </c>
      <c r="J76" s="19">
        <f>H75*J69-I75*K69+J75*H69+K75*I69</f>
        <v>0</v>
      </c>
      <c r="K76" s="19">
        <f>H75*K69+I75*J69-J75*I69+K75*H69</f>
        <v>0</v>
      </c>
      <c r="L76" s="20" t="s">
        <v>35</v>
      </c>
      <c r="M76" s="1">
        <f>SIN(-0.5*E76*PI()/180)</f>
        <v>1.8978997771476748E-2</v>
      </c>
      <c r="N76" s="1">
        <f>SIN(0.5*E75*PI()/180)</f>
        <v>0</v>
      </c>
      <c r="O76" s="1">
        <f>SIN(0.5*E74*PI()/180)</f>
        <v>0</v>
      </c>
    </row>
    <row r="77" spans="1:17" hidden="1" x14ac:dyDescent="0.2">
      <c r="A77" s="26" t="str">
        <f>T(IF(SIGN(ABS(E74))+SIGN(ABS(E75))+SIGN(ABS(E76))&gt;1,"NEED TWO ZERO ANGLES ABOVE!!",""))</f>
        <v/>
      </c>
      <c r="G77" s="1" t="s">
        <v>848</v>
      </c>
      <c r="H77" s="1">
        <f>J76</f>
        <v>0</v>
      </c>
      <c r="I77" s="1">
        <f>I76</f>
        <v>-0.69355924092772625</v>
      </c>
      <c r="J77" s="1">
        <f>K76</f>
        <v>0</v>
      </c>
      <c r="K77" s="1">
        <f>H76</f>
        <v>0.72039959697639755</v>
      </c>
      <c r="L77" s="1" t="s">
        <v>878</v>
      </c>
      <c r="M77" s="1" t="str">
        <f>CONCATENATE(TEXT(H77,"0.000000")," ",TEXT(I77,"0.000000")," ",TEXT(J77,"0.000000")," ",TEXT(K77,"0.000000"))</f>
        <v>0.000000 -0.693559 0.000000 0.720400</v>
      </c>
      <c r="N77" s="1"/>
      <c r="O77" s="1"/>
    </row>
    <row r="78" spans="1:17" hidden="1" x14ac:dyDescent="0.2">
      <c r="G78" s="1"/>
      <c r="H78" s="19" t="s">
        <v>36</v>
      </c>
      <c r="I78" s="19" t="s">
        <v>37</v>
      </c>
      <c r="J78" s="19" t="s">
        <v>38</v>
      </c>
      <c r="K78" s="19" t="s">
        <v>882</v>
      </c>
      <c r="L78" s="19" t="s">
        <v>881</v>
      </c>
      <c r="M78" s="19" t="s">
        <v>523</v>
      </c>
      <c r="N78" s="19"/>
      <c r="O78" s="19"/>
    </row>
    <row r="79" spans="1:17" hidden="1" x14ac:dyDescent="0.2">
      <c r="G79" s="1" t="s">
        <v>39</v>
      </c>
      <c r="H79" s="21">
        <f>-2*H76*I76+2*J76*K76</f>
        <v>0.99927959528718036</v>
      </c>
      <c r="I79" s="21">
        <f>2*H76*J76+2*I76*K76</f>
        <v>0</v>
      </c>
      <c r="J79" s="21">
        <f>H76*H76-I76*I76-J76*J76+K76*K76</f>
        <v>3.7951158647512195E-2</v>
      </c>
      <c r="K79" s="19">
        <f>IF(ABS(I79)&lt;0.99999,ATAN(I79/SQRT(H79*H79+J79*J79)),SIGN(I79)*1000)</f>
        <v>0</v>
      </c>
      <c r="L79" s="19">
        <f>IF(ABS(I79)&lt;0.99999,180/PI()*ATAN(I79/SQRT(H79*H79+J79*J79)),SIGN(I79)*90)</f>
        <v>0</v>
      </c>
      <c r="M79" s="19">
        <f>IF(ABS(H79)&gt;0.00001,IF(H79&gt;0,90-180/PI()*ATAN(J79/H79),-90-180/PI()*ATAN(J79/H79)),-90+SIGN(J79)*90)</f>
        <v>87.825036472119507</v>
      </c>
      <c r="N79" s="19"/>
      <c r="O79" s="19"/>
    </row>
    <row r="80" spans="1:17" hidden="1" x14ac:dyDescent="0.2">
      <c r="D80" s="19"/>
      <c r="E80" s="19"/>
      <c r="G80" s="16"/>
      <c r="H80" s="15"/>
      <c r="I80" s="2"/>
      <c r="J80" s="2"/>
      <c r="K80" s="2"/>
      <c r="O80" s="1"/>
      <c r="P80" s="1"/>
      <c r="Q80" s="1"/>
    </row>
    <row r="81" spans="1:15" hidden="1" x14ac:dyDescent="0.2">
      <c r="A81" s="46"/>
      <c r="B81" s="45"/>
      <c r="C81" s="51" t="s">
        <v>168</v>
      </c>
      <c r="D81" s="51" t="s">
        <v>524</v>
      </c>
      <c r="E81" s="51">
        <f>N58</f>
        <v>0</v>
      </c>
      <c r="F81" s="51" t="s">
        <v>1076</v>
      </c>
      <c r="G81" s="1" t="s">
        <v>906</v>
      </c>
      <c r="H81" s="1">
        <v>0.70710678118654757</v>
      </c>
      <c r="I81" s="1">
        <v>0</v>
      </c>
      <c r="J81" s="1">
        <v>0.70710678118654746</v>
      </c>
      <c r="K81" s="1">
        <v>0</v>
      </c>
      <c r="L81" s="1"/>
      <c r="M81" s="1" t="s">
        <v>163</v>
      </c>
      <c r="N81" s="1" t="s">
        <v>526</v>
      </c>
      <c r="O81" s="1" t="s">
        <v>527</v>
      </c>
    </row>
    <row r="82" spans="1:15" hidden="1" x14ac:dyDescent="0.2">
      <c r="A82" s="46"/>
      <c r="B82" s="45"/>
      <c r="C82" s="51" t="s">
        <v>904</v>
      </c>
      <c r="D82" s="51" t="s">
        <v>525</v>
      </c>
      <c r="E82" s="51">
        <v>0</v>
      </c>
      <c r="F82" s="51" t="s">
        <v>1076</v>
      </c>
      <c r="G82" s="1" t="s">
        <v>942</v>
      </c>
      <c r="H82" s="19">
        <f>M82*N82*O82+M83*N83*O83</f>
        <v>1</v>
      </c>
      <c r="I82" s="19">
        <f>M83*N82*O82-M82*N83*O83</f>
        <v>0</v>
      </c>
      <c r="J82" s="19">
        <f>M82*N83*O82+M83*N82*O83</f>
        <v>0</v>
      </c>
      <c r="K82" s="19">
        <f>M82*N82*O83-M83*N83*O82</f>
        <v>0</v>
      </c>
      <c r="L82" s="20" t="s">
        <v>34</v>
      </c>
      <c r="M82" s="1">
        <f>COS(-0.5*E83*PI()/180)</f>
        <v>1</v>
      </c>
      <c r="N82" s="1">
        <f>COS(0.5*E82*PI()/180)</f>
        <v>1</v>
      </c>
      <c r="O82" s="1">
        <f>COS(0.5*E81*PI()/180)</f>
        <v>1</v>
      </c>
    </row>
    <row r="83" spans="1:15" hidden="1" x14ac:dyDescent="0.2">
      <c r="A83" s="46"/>
      <c r="B83" s="45"/>
      <c r="C83" s="45"/>
      <c r="D83" s="51" t="s">
        <v>164</v>
      </c>
      <c r="E83" s="51">
        <v>0</v>
      </c>
      <c r="F83" s="51" t="s">
        <v>1076</v>
      </c>
      <c r="G83" s="1" t="s">
        <v>943</v>
      </c>
      <c r="H83" s="19">
        <f>H82*H81-I82*I81-J82*J81-K82*K81</f>
        <v>0.70710678118654757</v>
      </c>
      <c r="I83" s="19">
        <f>H82*I81+I82*H81+J82*K81-K82*J81</f>
        <v>0</v>
      </c>
      <c r="J83" s="19">
        <f>H82*J81-I82*K81+J82*H81+K82*I81</f>
        <v>0.70710678118654746</v>
      </c>
      <c r="K83" s="19">
        <f>H82*K81+I82*J81-J82*I81+K82*H81</f>
        <v>0</v>
      </c>
      <c r="L83" s="20" t="s">
        <v>35</v>
      </c>
      <c r="M83" s="1">
        <f>SIN(-0.5*E83*PI()/180)</f>
        <v>0</v>
      </c>
      <c r="N83" s="1">
        <f>SIN(0.5*E82*PI()/180)</f>
        <v>0</v>
      </c>
      <c r="O83" s="1">
        <f>SIN(0.5*E81*PI()/180)</f>
        <v>0</v>
      </c>
    </row>
    <row r="84" spans="1:15" hidden="1" x14ac:dyDescent="0.2">
      <c r="A84" s="26" t="str">
        <f>T(IF(SIGN(ABS(E81))+SIGN(ABS(E82))+SIGN(ABS(E83))&gt;1,"NEED TWO ZERO ANGLES ABOVE!!",""))</f>
        <v/>
      </c>
      <c r="C84" s="12"/>
      <c r="E84" s="15"/>
      <c r="G84" s="1" t="s">
        <v>848</v>
      </c>
      <c r="H84" s="1">
        <f>J83</f>
        <v>0.70710678118654746</v>
      </c>
      <c r="I84" s="1">
        <f>I83</f>
        <v>0</v>
      </c>
      <c r="J84" s="1">
        <f>K83</f>
        <v>0</v>
      </c>
      <c r="K84" s="1">
        <f>H83</f>
        <v>0.70710678118654757</v>
      </c>
      <c r="L84" s="20"/>
      <c r="M84" s="1"/>
      <c r="N84" s="1"/>
      <c r="O84" s="1"/>
    </row>
    <row r="85" spans="1:15" hidden="1" x14ac:dyDescent="0.2">
      <c r="A85" s="26"/>
      <c r="G85" s="1"/>
      <c r="H85" s="19" t="s">
        <v>36</v>
      </c>
      <c r="I85" s="19" t="s">
        <v>37</v>
      </c>
      <c r="J85" s="19" t="s">
        <v>38</v>
      </c>
      <c r="K85" s="19" t="s">
        <v>882</v>
      </c>
      <c r="L85" s="19" t="s">
        <v>881</v>
      </c>
      <c r="M85" s="19" t="s">
        <v>523</v>
      </c>
      <c r="N85" s="19"/>
      <c r="O85" s="19"/>
    </row>
    <row r="86" spans="1:15" hidden="1" x14ac:dyDescent="0.2">
      <c r="G86" s="1" t="s">
        <v>39</v>
      </c>
      <c r="H86" s="19">
        <f>-2*H83*I83+2*J83*K83</f>
        <v>0</v>
      </c>
      <c r="I86" s="19">
        <f>2*H83*J83+2*I83*K83</f>
        <v>1</v>
      </c>
      <c r="J86" s="19">
        <f>H83*H83-I83*I83-J83*J83+K83*K83</f>
        <v>2.2204460492503131E-16</v>
      </c>
      <c r="K86" s="19">
        <f>IF(ABS(I86)&lt;0.99999,ATAN(I86/SQRT(H86*H86+J86*J86)),SIGN(I86)*1000)</f>
        <v>1000</v>
      </c>
      <c r="L86" s="19">
        <f>IF(ABS(I86)&lt;0.99999,180/PI()*ATAN(I86/SQRT(H86*H86+J86*J86)),SIGN(I86)*90)</f>
        <v>90</v>
      </c>
      <c r="M86" s="19">
        <f>IF(ABS(H86)&gt;0.00001,IF(H86&gt;0,90+180/PI()*ATAN(J86/H86),-90-180/PI()*ATAN(J86/H86)),-90+SIGN(J86)*90)</f>
        <v>0</v>
      </c>
      <c r="N86" s="19"/>
      <c r="O86" s="19"/>
    </row>
    <row r="87" spans="1:15" hidden="1" x14ac:dyDescent="0.2">
      <c r="G87" s="1"/>
      <c r="H87" s="1"/>
      <c r="I87" s="1"/>
      <c r="J87" s="1"/>
      <c r="K87" s="1"/>
      <c r="L87" s="1"/>
      <c r="M87" s="1"/>
      <c r="N87" s="1"/>
      <c r="O87" s="1"/>
    </row>
    <row r="88" spans="1:15" hidden="1" x14ac:dyDescent="0.2">
      <c r="A88" s="46"/>
      <c r="B88" s="45"/>
      <c r="C88" s="51"/>
      <c r="D88" s="51" t="s">
        <v>524</v>
      </c>
      <c r="E88" s="51">
        <v>0</v>
      </c>
      <c r="F88" s="1" t="s">
        <v>1076</v>
      </c>
      <c r="G88" s="1"/>
      <c r="H88" s="1" t="s">
        <v>850</v>
      </c>
      <c r="I88" s="1" t="s">
        <v>851</v>
      </c>
      <c r="J88" s="1" t="s">
        <v>852</v>
      </c>
      <c r="K88" s="1" t="s">
        <v>853</v>
      </c>
      <c r="L88" s="1"/>
      <c r="M88" s="1" t="s">
        <v>163</v>
      </c>
      <c r="N88" s="1" t="s">
        <v>526</v>
      </c>
      <c r="O88" s="1" t="s">
        <v>527</v>
      </c>
    </row>
    <row r="89" spans="1:15" hidden="1" x14ac:dyDescent="0.2">
      <c r="A89" s="46"/>
      <c r="B89" s="45"/>
      <c r="C89" s="45"/>
      <c r="D89" s="51" t="s">
        <v>525</v>
      </c>
      <c r="E89" s="51">
        <f>P45</f>
        <v>0</v>
      </c>
      <c r="F89" s="1" t="s">
        <v>1076</v>
      </c>
      <c r="G89" s="1" t="s">
        <v>855</v>
      </c>
      <c r="H89" s="19">
        <f>M89*N89*O89+M90*N90*O90</f>
        <v>1</v>
      </c>
      <c r="I89" s="19">
        <f>M90*N89*O89-M89*N90*O90</f>
        <v>0</v>
      </c>
      <c r="J89" s="19">
        <f>M89*N90*O89+M90*N89*O90</f>
        <v>0</v>
      </c>
      <c r="K89" s="19">
        <f>M89*N89*O90-M90*N90*O89</f>
        <v>0</v>
      </c>
      <c r="L89" s="20" t="s">
        <v>34</v>
      </c>
      <c r="M89" s="1">
        <f>COS(-0.5*E90*PI()/180)</f>
        <v>1</v>
      </c>
      <c r="N89" s="1">
        <f>COS(0.5*E89*PI()/180)</f>
        <v>1</v>
      </c>
      <c r="O89" s="1">
        <f>COS(0.5*E88*PI()/180)</f>
        <v>1</v>
      </c>
    </row>
    <row r="90" spans="1:15" hidden="1" x14ac:dyDescent="0.2">
      <c r="A90" s="46"/>
      <c r="B90" s="45"/>
      <c r="C90" s="45"/>
      <c r="D90" s="51" t="s">
        <v>164</v>
      </c>
      <c r="E90" s="51">
        <v>0</v>
      </c>
      <c r="F90" s="1" t="s">
        <v>1076</v>
      </c>
      <c r="G90" s="1" t="s">
        <v>944</v>
      </c>
      <c r="H90" s="19">
        <f>H89*H83-I89*I83-J89*J83-K89*K83</f>
        <v>0.70710678118654757</v>
      </c>
      <c r="I90" s="19">
        <f>H89*I83+I89*H83+J89*K83-K89*J83</f>
        <v>0</v>
      </c>
      <c r="J90" s="19">
        <f>H89*J83-I89*K83+J89*H83+K89*I83</f>
        <v>0.70710678118654746</v>
      </c>
      <c r="K90" s="19">
        <f>H89*K83+I89*J83-J89*I83+K89*H83</f>
        <v>0</v>
      </c>
      <c r="L90" s="20" t="s">
        <v>35</v>
      </c>
      <c r="M90" s="1">
        <f>SIN(-0.5*E90*PI()/180)</f>
        <v>0</v>
      </c>
      <c r="N90" s="1">
        <f>SIN(0.5*E89*PI()/180)</f>
        <v>0</v>
      </c>
      <c r="O90" s="1">
        <f>SIN(0.5*E88*PI()/180)</f>
        <v>0</v>
      </c>
    </row>
    <row r="91" spans="1:15" hidden="1" x14ac:dyDescent="0.2">
      <c r="A91" s="1" t="str">
        <f>T(IF(SIGN(ABS(E88))+SIGN(ABS(E89))+SIGN(ABS(E90))&gt;1,"NEED TWO ZERO ANGLES ABOVE!!",""))</f>
        <v/>
      </c>
      <c r="B91" s="1"/>
      <c r="C91" s="1"/>
      <c r="D91" s="1"/>
      <c r="E91" s="1"/>
      <c r="F91" s="1"/>
      <c r="G91" s="1" t="s">
        <v>848</v>
      </c>
      <c r="H91" s="1">
        <f>J90</f>
        <v>0.70710678118654746</v>
      </c>
      <c r="I91" s="1">
        <f>I90</f>
        <v>0</v>
      </c>
      <c r="J91" s="1">
        <f>K90</f>
        <v>0</v>
      </c>
      <c r="K91" s="1">
        <f>H90</f>
        <v>0.70710678118654757</v>
      </c>
      <c r="L91" s="20"/>
      <c r="M91" s="1"/>
      <c r="N91" s="1"/>
      <c r="O91" s="1"/>
    </row>
    <row r="92" spans="1:15" hidden="1" x14ac:dyDescent="0.2">
      <c r="A92" s="1"/>
      <c r="B92" s="1"/>
      <c r="C92" s="1"/>
      <c r="D92" s="1"/>
      <c r="E92" s="1"/>
      <c r="F92" s="1"/>
      <c r="G92" s="1"/>
      <c r="H92" s="19" t="s">
        <v>36</v>
      </c>
      <c r="I92" s="19" t="s">
        <v>37</v>
      </c>
      <c r="J92" s="19" t="s">
        <v>38</v>
      </c>
      <c r="K92" s="19" t="s">
        <v>882</v>
      </c>
      <c r="L92" s="19" t="s">
        <v>881</v>
      </c>
      <c r="M92" s="19" t="s">
        <v>523</v>
      </c>
      <c r="N92" s="19"/>
      <c r="O92" s="19"/>
    </row>
    <row r="93" spans="1:15" hidden="1" x14ac:dyDescent="0.2">
      <c r="A93" s="1"/>
      <c r="B93" s="1"/>
      <c r="C93" s="1"/>
      <c r="D93" s="1"/>
      <c r="E93" s="1"/>
      <c r="F93" s="1"/>
      <c r="G93" s="1" t="s">
        <v>39</v>
      </c>
      <c r="H93" s="19">
        <f>-2*H90*I90+2*J90*K90</f>
        <v>0</v>
      </c>
      <c r="I93" s="19">
        <f>2*H90*J90+2*I90*K90</f>
        <v>1</v>
      </c>
      <c r="J93" s="19">
        <f>H90*H90-I90*I90-J90*J90+K90*K90</f>
        <v>2.2204460492503131E-16</v>
      </c>
      <c r="K93" s="19">
        <f>IF(ABS(I93)&lt;0.99999,ATAN(I93/SQRT(H93*H93+J93*J93)),SIGN(I93)*1000)</f>
        <v>1000</v>
      </c>
      <c r="L93" s="19">
        <f>IF(ABS(I93)&lt;0.99999,180/PI()*ATAN(I93/SQRT(H93*H93+J93*J93)),SIGN(I93)*90)</f>
        <v>90</v>
      </c>
      <c r="M93" s="19">
        <f>IF(ABS(H93)&gt;0.00001,IF(H93&gt;0,90-180/PI()*ATAN(J93/H93),-90-180/PI()*ATAN(J93/H93)),-90+SIGN(J93)*90)</f>
        <v>0</v>
      </c>
      <c r="N93" s="19"/>
      <c r="O93" s="19"/>
    </row>
    <row r="94" spans="1:15" hidden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idden="1" x14ac:dyDescent="0.2">
      <c r="A95" s="46"/>
      <c r="B95" s="45"/>
      <c r="C95" s="51"/>
      <c r="D95" s="51" t="s">
        <v>524</v>
      </c>
      <c r="E95" s="51">
        <v>0</v>
      </c>
      <c r="F95" s="1" t="s">
        <v>1076</v>
      </c>
      <c r="G95" s="1"/>
      <c r="H95" s="1" t="s">
        <v>860</v>
      </c>
      <c r="I95" s="1" t="s">
        <v>861</v>
      </c>
      <c r="J95" s="1" t="s">
        <v>862</v>
      </c>
      <c r="K95" s="1" t="s">
        <v>863</v>
      </c>
      <c r="L95" s="1"/>
      <c r="M95" s="1" t="s">
        <v>163</v>
      </c>
      <c r="N95" s="1" t="s">
        <v>526</v>
      </c>
      <c r="O95" s="1" t="s">
        <v>527</v>
      </c>
    </row>
    <row r="96" spans="1:15" hidden="1" x14ac:dyDescent="0.2">
      <c r="A96" s="46"/>
      <c r="B96" s="45"/>
      <c r="C96" s="45"/>
      <c r="D96" s="51" t="s">
        <v>525</v>
      </c>
      <c r="E96" s="51">
        <v>0</v>
      </c>
      <c r="F96" s="1" t="s">
        <v>1076</v>
      </c>
      <c r="G96" s="1" t="s">
        <v>864</v>
      </c>
      <c r="H96" s="19">
        <f>M96*N96*O96+M97*N97*O97</f>
        <v>0.99981988260065635</v>
      </c>
      <c r="I96" s="19">
        <f>M97*N96*O96-M96*N97*O97</f>
        <v>1.8978997771476748E-2</v>
      </c>
      <c r="J96" s="19">
        <f>M96*N97*O96+M97*N96*O97</f>
        <v>0</v>
      </c>
      <c r="K96" s="19">
        <f>M96*N96*O97-M97*N97*O96</f>
        <v>0</v>
      </c>
      <c r="L96" s="20" t="s">
        <v>34</v>
      </c>
      <c r="M96" s="1">
        <f>COS(-0.5*E97*PI()/180)</f>
        <v>0.99981988260065635</v>
      </c>
      <c r="N96" s="1">
        <f>COS(0.5*E96*PI()/180)</f>
        <v>1</v>
      </c>
      <c r="O96" s="1">
        <f>COS(0.5*E95*PI()/180)</f>
        <v>1</v>
      </c>
    </row>
    <row r="97" spans="1:23" hidden="1" x14ac:dyDescent="0.2">
      <c r="A97" s="46"/>
      <c r="B97" s="45"/>
      <c r="C97" s="45"/>
      <c r="D97" s="51" t="s">
        <v>164</v>
      </c>
      <c r="E97" s="51">
        <f>Q45</f>
        <v>-2.1749635278804789</v>
      </c>
      <c r="F97" s="1" t="s">
        <v>1076</v>
      </c>
      <c r="G97" s="1" t="s">
        <v>865</v>
      </c>
      <c r="H97" s="19">
        <f>H96*H90-I96*I90-J96*J90-K96*K90</f>
        <v>0.70697941895206196</v>
      </c>
      <c r="I97" s="19">
        <f>H96*I90+I96*H90+J96*K90-K96*J90</f>
        <v>1.3420178024335584E-2</v>
      </c>
      <c r="J97" s="19">
        <f>H96*J90-I96*K90+J96*H90+K96*I90</f>
        <v>0.70697941895206184</v>
      </c>
      <c r="K97" s="19">
        <f>H96*K90+I96*J90-J96*I90+K96*H90</f>
        <v>1.342017802433558E-2</v>
      </c>
      <c r="L97" s="20" t="s">
        <v>35</v>
      </c>
      <c r="M97" s="1">
        <f>SIN(-0.5*E97*PI()/180)</f>
        <v>1.8978997771476748E-2</v>
      </c>
      <c r="N97" s="1">
        <f>SIN(0.5*E96*PI()/180)</f>
        <v>0</v>
      </c>
      <c r="O97" s="1">
        <f>SIN(0.5*E95*PI()/180)</f>
        <v>0</v>
      </c>
    </row>
    <row r="98" spans="1:23" hidden="1" x14ac:dyDescent="0.2">
      <c r="A98" s="26" t="str">
        <f>T(IF(SIGN(ABS(E95))+SIGN(ABS(E96))+SIGN(ABS(E97))&gt;1,"NEED TWO ZERO ANGLES ABOVE!!",""))</f>
        <v/>
      </c>
      <c r="G98" s="1" t="s">
        <v>848</v>
      </c>
      <c r="H98" s="1">
        <f>J97</f>
        <v>0.70697941895206184</v>
      </c>
      <c r="I98" s="1">
        <f>I97</f>
        <v>1.3420178024335584E-2</v>
      </c>
      <c r="J98" s="1">
        <f>K97</f>
        <v>1.342017802433558E-2</v>
      </c>
      <c r="K98" s="1">
        <f>H97</f>
        <v>0.70697941895206196</v>
      </c>
      <c r="L98" s="1" t="s">
        <v>878</v>
      </c>
      <c r="M98" s="1" t="str">
        <f>CONCATENATE(TEXT(H98,"0.000000")," ",TEXT(I98,"0.000000")," ",TEXT(J98,"0.000000")," ",TEXT(K98,"0.000000"))</f>
        <v>0.706979 0.013420 0.013420 0.706979</v>
      </c>
      <c r="N98" s="1"/>
      <c r="O98" s="1"/>
    </row>
    <row r="99" spans="1:23" hidden="1" x14ac:dyDescent="0.2">
      <c r="G99" s="1"/>
      <c r="H99" s="19" t="s">
        <v>36</v>
      </c>
      <c r="I99" s="19" t="s">
        <v>37</v>
      </c>
      <c r="J99" s="19" t="s">
        <v>38</v>
      </c>
      <c r="K99" s="19" t="s">
        <v>882</v>
      </c>
      <c r="L99" s="19" t="s">
        <v>881</v>
      </c>
      <c r="M99" s="19" t="s">
        <v>523</v>
      </c>
      <c r="N99" s="19"/>
      <c r="O99" s="19"/>
    </row>
    <row r="100" spans="1:23" hidden="1" x14ac:dyDescent="0.2">
      <c r="G100" s="1" t="s">
        <v>39</v>
      </c>
      <c r="H100" s="21">
        <f>-2*H97*I97+2*J97*K97</f>
        <v>0</v>
      </c>
      <c r="I100" s="21">
        <f>2*H97*J97+2*I97*K97</f>
        <v>0.99999999999999989</v>
      </c>
      <c r="J100" s="21">
        <f>H97*H97-I97*I97-J97*J97+K97*K97</f>
        <v>8.7305379939395245E-17</v>
      </c>
      <c r="K100" s="19">
        <f>IF(ABS(I100)&lt;0.99999,ATAN(I100/SQRT(H100*H100+J100*J100)),SIGN(I100)*1000)</f>
        <v>1000</v>
      </c>
      <c r="L100" s="19">
        <f>IF(ABS(I100)&lt;0.99999,180/PI()*ATAN(I100/SQRT(H100*H100+J100*J100)),SIGN(I100)*90)</f>
        <v>90</v>
      </c>
      <c r="M100" s="19">
        <f>IF(ABS(H100)&gt;0.00001,IF(H100&gt;0,90-180/PI()*ATAN(J100/H100),-90-180/PI()*ATAN(J100/H100)),-90+SIGN(J100)*90)</f>
        <v>0</v>
      </c>
      <c r="N100" s="19"/>
      <c r="O100" s="19"/>
    </row>
    <row r="101" spans="1:23" s="45" customFormat="1" x14ac:dyDescent="0.2">
      <c r="A101" s="46"/>
      <c r="F101" s="61"/>
      <c r="G101" s="1"/>
      <c r="H101" s="19"/>
      <c r="I101" s="19"/>
      <c r="J101" s="19"/>
      <c r="K101" s="19"/>
      <c r="L101" s="19"/>
      <c r="M101" s="19"/>
      <c r="N101" s="21"/>
      <c r="O101" s="19"/>
      <c r="R101" s="59"/>
      <c r="W101"/>
    </row>
    <row r="102" spans="1:23" x14ac:dyDescent="0.2">
      <c r="A102" t="s">
        <v>1298</v>
      </c>
      <c r="D102" s="15"/>
      <c r="L102" s="19"/>
      <c r="M102" s="2"/>
      <c r="N102" s="2"/>
      <c r="O102" s="2"/>
      <c r="P102" s="2"/>
      <c r="Q102" s="2"/>
      <c r="R102" s="2"/>
      <c r="S102" s="2"/>
    </row>
    <row r="103" spans="1:23" x14ac:dyDescent="0.2">
      <c r="B103" t="s">
        <v>1299</v>
      </c>
      <c r="D103" s="15"/>
      <c r="L103" s="19"/>
      <c r="M103" s="2"/>
      <c r="N103" s="2"/>
      <c r="O103" s="2"/>
      <c r="P103" s="2"/>
      <c r="Q103" s="2"/>
      <c r="R103" s="2"/>
      <c r="S103" s="2"/>
    </row>
    <row r="104" spans="1:23" x14ac:dyDescent="0.2">
      <c r="A104" s="46"/>
      <c r="B104" s="46"/>
      <c r="C104" s="58" t="s">
        <v>524</v>
      </c>
      <c r="D104" s="62">
        <f>N58</f>
        <v>0</v>
      </c>
      <c r="E104" t="s">
        <v>1076</v>
      </c>
      <c r="L104" s="19"/>
      <c r="M104" s="2"/>
      <c r="N104" s="2"/>
      <c r="O104" s="2"/>
      <c r="P104" s="2"/>
      <c r="Q104" s="2"/>
      <c r="R104" s="2"/>
      <c r="S104" s="2"/>
    </row>
    <row r="105" spans="1:23" x14ac:dyDescent="0.2">
      <c r="A105" s="46"/>
      <c r="B105" s="46"/>
      <c r="C105" s="58" t="s">
        <v>525</v>
      </c>
      <c r="D105" s="62">
        <f>P45</f>
        <v>0</v>
      </c>
      <c r="E105" t="s">
        <v>1076</v>
      </c>
      <c r="L105" s="19"/>
      <c r="M105" s="2"/>
      <c r="N105" s="2"/>
      <c r="O105" s="2"/>
      <c r="P105" s="2"/>
      <c r="Q105" s="2"/>
      <c r="R105" s="2"/>
      <c r="S105" s="2"/>
    </row>
    <row r="106" spans="1:23" x14ac:dyDescent="0.2">
      <c r="A106" s="46"/>
      <c r="B106" s="46"/>
      <c r="C106" s="58" t="s">
        <v>164</v>
      </c>
      <c r="D106" s="62">
        <f>Q45</f>
        <v>-2.1749635278804789</v>
      </c>
      <c r="E106" t="s">
        <v>1076</v>
      </c>
      <c r="L106" s="19"/>
      <c r="M106" s="2"/>
      <c r="N106" s="2"/>
      <c r="O106" s="2"/>
      <c r="P106" s="2"/>
      <c r="Q106" s="2"/>
      <c r="R106" s="2"/>
      <c r="S106" s="2"/>
    </row>
    <row r="107" spans="1:23" x14ac:dyDescent="0.2">
      <c r="A107" s="137" t="s">
        <v>1300</v>
      </c>
      <c r="D107" s="46"/>
      <c r="L107" s="19"/>
      <c r="M107" s="2"/>
      <c r="N107" s="2"/>
      <c r="O107" s="2"/>
      <c r="P107" s="2"/>
      <c r="Q107" s="2"/>
      <c r="R107" s="2"/>
      <c r="S107" s="2"/>
    </row>
    <row r="108" spans="1:23" x14ac:dyDescent="0.2">
      <c r="D108" s="15"/>
      <c r="L108" s="19"/>
      <c r="M108" s="2"/>
      <c r="N108" s="2"/>
      <c r="O108" s="2"/>
      <c r="P108" s="2"/>
      <c r="Q108" s="2"/>
      <c r="R108" s="2"/>
      <c r="S108" s="2"/>
    </row>
    <row r="109" spans="1:23" x14ac:dyDescent="0.2">
      <c r="A109" s="82" t="s">
        <v>500</v>
      </c>
      <c r="B109" s="11"/>
      <c r="C109" s="11"/>
      <c r="D109" s="11"/>
      <c r="E109" s="11"/>
      <c r="F109" s="11"/>
      <c r="G109" s="11"/>
      <c r="H109" s="11"/>
      <c r="R109" s="10"/>
      <c r="S109" s="10"/>
      <c r="T109" s="10"/>
    </row>
    <row r="110" spans="1:23" x14ac:dyDescent="0.2">
      <c r="A110" s="47"/>
      <c r="G110" s="1"/>
    </row>
    <row r="111" spans="1:23" x14ac:dyDescent="0.2">
      <c r="A111" t="s">
        <v>161</v>
      </c>
    </row>
    <row r="112" spans="1:23" x14ac:dyDescent="0.2">
      <c r="B112" t="s">
        <v>162</v>
      </c>
    </row>
    <row r="113" spans="1:18" x14ac:dyDescent="0.2">
      <c r="A113" t="s">
        <v>907</v>
      </c>
    </row>
    <row r="115" spans="1:18" x14ac:dyDescent="0.2">
      <c r="A115" s="11" t="s">
        <v>158</v>
      </c>
      <c r="B115" s="11"/>
      <c r="C115" s="12" t="s">
        <v>155</v>
      </c>
      <c r="E115" s="64">
        <v>180</v>
      </c>
      <c r="L115" s="1"/>
      <c r="M115" s="1" t="s">
        <v>163</v>
      </c>
      <c r="N115" s="1" t="s">
        <v>526</v>
      </c>
      <c r="O115" s="1" t="s">
        <v>527</v>
      </c>
    </row>
    <row r="116" spans="1:18" x14ac:dyDescent="0.2">
      <c r="A116" s="11" t="s">
        <v>159</v>
      </c>
      <c r="B116" s="11"/>
      <c r="C116" s="12" t="s">
        <v>156</v>
      </c>
      <c r="E116" s="64">
        <v>0</v>
      </c>
      <c r="F116" t="s">
        <v>247</v>
      </c>
      <c r="L116" s="20" t="s">
        <v>34</v>
      </c>
      <c r="M116" s="1">
        <f>COS(-0.5*E117*PI()/180)</f>
        <v>1</v>
      </c>
      <c r="N116" s="1">
        <f>COS(0.5*E116*PI()/180)</f>
        <v>1</v>
      </c>
      <c r="O116" s="1">
        <f>COS(0.5*E115*PI()/180)</f>
        <v>6.1257422745431001E-17</v>
      </c>
    </row>
    <row r="117" spans="1:18" x14ac:dyDescent="0.2">
      <c r="A117" s="11" t="s">
        <v>160</v>
      </c>
      <c r="B117" s="11"/>
      <c r="C117" s="12" t="s">
        <v>913</v>
      </c>
      <c r="E117" s="64">
        <v>0</v>
      </c>
      <c r="F117" t="s">
        <v>1076</v>
      </c>
      <c r="L117" s="20" t="s">
        <v>35</v>
      </c>
      <c r="M117" s="1">
        <f>SIN(-0.5*E117*PI()/180)</f>
        <v>0</v>
      </c>
      <c r="N117" s="1">
        <f>SIN(0.5*E116*PI()/180)</f>
        <v>0</v>
      </c>
      <c r="O117" s="1">
        <f>SIN(0.5*E115*PI()/180)</f>
        <v>1</v>
      </c>
    </row>
    <row r="118" spans="1:18" x14ac:dyDescent="0.2">
      <c r="A118" s="26" t="str">
        <f>T(IF(SIGN(ABS(E115))+SIGN(ABS(E116))+SIGN(ABS(E117))&gt;1,"NEED TWO ZERO ANGLES ABOVE!!",""))</f>
        <v/>
      </c>
      <c r="C118" s="12"/>
      <c r="E118" s="15"/>
      <c r="F118" s="59"/>
      <c r="R118" s="59"/>
    </row>
    <row r="119" spans="1:18" hidden="1" x14ac:dyDescent="0.2">
      <c r="A119" s="26"/>
      <c r="C119" s="12"/>
      <c r="E119" s="15"/>
      <c r="G119" s="41" t="s">
        <v>918</v>
      </c>
      <c r="H119" s="1" t="s">
        <v>940</v>
      </c>
      <c r="I119" s="1" t="s">
        <v>938</v>
      </c>
      <c r="J119" s="1" t="s">
        <v>937</v>
      </c>
      <c r="K119" s="1" t="s">
        <v>939</v>
      </c>
      <c r="L119" s="153" t="s">
        <v>866</v>
      </c>
      <c r="M119" s="153" t="s">
        <v>937</v>
      </c>
      <c r="N119" s="153" t="s">
        <v>938</v>
      </c>
      <c r="O119" s="153" t="s">
        <v>939</v>
      </c>
      <c r="P119" s="153" t="s">
        <v>940</v>
      </c>
      <c r="Q119" s="104" t="s">
        <v>869</v>
      </c>
    </row>
    <row r="120" spans="1:18" hidden="1" x14ac:dyDescent="0.2">
      <c r="A120" s="26"/>
      <c r="C120" s="12"/>
      <c r="E120" s="15"/>
      <c r="G120" s="1" t="s">
        <v>912</v>
      </c>
      <c r="H120" s="1">
        <f>H45</f>
        <v>0.99982000000000004</v>
      </c>
      <c r="I120" s="1">
        <f>I45</f>
        <v>1.8978999999999999E-2</v>
      </c>
      <c r="J120" s="1">
        <f>J45</f>
        <v>0</v>
      </c>
      <c r="K120" s="1">
        <f>K45</f>
        <v>0</v>
      </c>
      <c r="L120" s="153" t="s">
        <v>867</v>
      </c>
      <c r="M120" s="153">
        <f>J120</f>
        <v>0</v>
      </c>
      <c r="N120" s="153">
        <f>I120</f>
        <v>1.8978999999999999E-2</v>
      </c>
      <c r="O120" s="153">
        <f>K120</f>
        <v>0</v>
      </c>
      <c r="P120" s="153">
        <f>H120</f>
        <v>0.99982000000000004</v>
      </c>
      <c r="Q120" s="104" t="s">
        <v>870</v>
      </c>
    </row>
    <row r="121" spans="1:18" hidden="1" x14ac:dyDescent="0.2">
      <c r="A121" s="26"/>
      <c r="C121" s="12"/>
      <c r="E121" s="15"/>
      <c r="G121" s="1"/>
      <c r="H121" s="1"/>
      <c r="I121" s="1" t="s">
        <v>183</v>
      </c>
      <c r="J121" s="1" t="s">
        <v>184</v>
      </c>
      <c r="K121" s="1" t="s">
        <v>185</v>
      </c>
      <c r="L121" s="153" t="s">
        <v>868</v>
      </c>
      <c r="M121" s="153" t="s">
        <v>910</v>
      </c>
      <c r="N121" s="153" t="s">
        <v>909</v>
      </c>
      <c r="O121" s="153" t="s">
        <v>911</v>
      </c>
      <c r="P121" s="153" t="s">
        <v>908</v>
      </c>
      <c r="Q121" s="104">
        <f>2*H42*J42-2*I42*K42</f>
        <v>-3.7951167559999999E-2</v>
      </c>
    </row>
    <row r="122" spans="1:18" hidden="1" x14ac:dyDescent="0.2">
      <c r="A122" s="26"/>
      <c r="C122" s="12"/>
      <c r="E122" s="15"/>
      <c r="G122" s="51" t="s">
        <v>169</v>
      </c>
      <c r="H122" s="1"/>
      <c r="I122" s="1">
        <f>M45</f>
        <v>0</v>
      </c>
      <c r="J122" s="1">
        <f>L45</f>
        <v>-3.7951167559999999E-2</v>
      </c>
      <c r="K122" s="1">
        <f>N45</f>
        <v>0.99927982995900011</v>
      </c>
      <c r="L122" s="153"/>
      <c r="M122" s="153">
        <f>J124</f>
        <v>-3.7951167559999999E-2</v>
      </c>
      <c r="N122" s="153">
        <f>I124</f>
        <v>0</v>
      </c>
      <c r="O122" s="153">
        <f>K124</f>
        <v>0.99927982995900011</v>
      </c>
      <c r="P122" s="153">
        <f>H124</f>
        <v>6.1257422745431001E-17</v>
      </c>
      <c r="Q122" s="104">
        <f>2*H42*K42+2*I42*J42</f>
        <v>0</v>
      </c>
    </row>
    <row r="123" spans="1:18" hidden="1" x14ac:dyDescent="0.2">
      <c r="A123" s="26"/>
      <c r="C123" s="12"/>
      <c r="E123" s="15"/>
      <c r="G123" s="51"/>
      <c r="H123" s="1" t="s">
        <v>908</v>
      </c>
      <c r="I123" s="1" t="s">
        <v>909</v>
      </c>
      <c r="J123" s="1" t="s">
        <v>910</v>
      </c>
      <c r="K123" s="1" t="s">
        <v>911</v>
      </c>
      <c r="L123" s="153" t="s">
        <v>914</v>
      </c>
      <c r="M123" s="153">
        <f>M122*P120-N122*O120+O122*N120+P122*M120</f>
        <v>-1.8979004457047338E-2</v>
      </c>
      <c r="N123" s="153">
        <f>M122*O120+N122*P120-O122*M120+P122*N120</f>
        <v>1.1626046262855349E-18</v>
      </c>
      <c r="O123" s="153">
        <f>-M122*N120+N122*M120+O122*P120+P122*O120</f>
        <v>0.99982023479872872</v>
      </c>
      <c r="P123" s="153">
        <f>-M122*M120-N122*N120-O122*O120+P122*P120</f>
        <v>6.124639640933683E-17</v>
      </c>
      <c r="Q123" s="104">
        <f>-H42*H42-I42*I42+J42*J42+K42*K42</f>
        <v>0.99927982995900011</v>
      </c>
    </row>
    <row r="124" spans="1:18" hidden="1" x14ac:dyDescent="0.2">
      <c r="A124" s="26"/>
      <c r="C124" s="12"/>
      <c r="E124" s="15"/>
      <c r="G124" s="1" t="s">
        <v>916</v>
      </c>
      <c r="H124" s="1">
        <f>O116</f>
        <v>6.1257422745431001E-17</v>
      </c>
      <c r="I124" s="1">
        <f>O117*I122</f>
        <v>0</v>
      </c>
      <c r="J124" s="1">
        <f>O117*J122</f>
        <v>-3.7951167559999999E-2</v>
      </c>
      <c r="K124" s="1">
        <f>O117*K122</f>
        <v>0.99927982995900011</v>
      </c>
      <c r="L124" s="20"/>
      <c r="M124" s="1"/>
      <c r="N124" s="1"/>
      <c r="O124" s="1"/>
      <c r="Q124" s="104" t="s">
        <v>873</v>
      </c>
    </row>
    <row r="125" spans="1:18" hidden="1" x14ac:dyDescent="0.2">
      <c r="A125" s="26"/>
      <c r="C125" s="12"/>
      <c r="E125" s="15"/>
      <c r="G125" s="1" t="s">
        <v>914</v>
      </c>
      <c r="H125" s="19">
        <f>H124*H120-I124*I120-J124*J120-K124*K120</f>
        <v>6.124639640933683E-17</v>
      </c>
      <c r="I125" s="19">
        <f>H124*I120+I124*H120+J124*K120-K124*J120</f>
        <v>1.1626046262855349E-18</v>
      </c>
      <c r="J125" s="19">
        <f>H124*J120-I124*K120+J124*H120+K124*I120</f>
        <v>-1.8979004457047338E-2</v>
      </c>
      <c r="K125" s="19">
        <f>H124*K120+I124*J120-J124*I120+K124*H120</f>
        <v>0.99982023479872872</v>
      </c>
      <c r="L125" s="20"/>
      <c r="M125" s="1"/>
      <c r="N125" s="1"/>
      <c r="O125" s="1"/>
      <c r="Q125" s="104" t="s">
        <v>874</v>
      </c>
    </row>
    <row r="126" spans="1:18" hidden="1" x14ac:dyDescent="0.2">
      <c r="A126" s="26"/>
      <c r="C126" s="12"/>
      <c r="E126" s="15"/>
      <c r="G126" s="1" t="s">
        <v>848</v>
      </c>
      <c r="H126" s="1">
        <f>J125</f>
        <v>-1.8979004457047338E-2</v>
      </c>
      <c r="I126" s="1">
        <f>I125</f>
        <v>1.1626046262855349E-18</v>
      </c>
      <c r="J126" s="1">
        <f>K125</f>
        <v>0.99982023479872872</v>
      </c>
      <c r="K126" s="1">
        <f>H125</f>
        <v>6.124639640933683E-17</v>
      </c>
      <c r="L126" s="1" t="s">
        <v>878</v>
      </c>
      <c r="M126" s="1" t="str">
        <f>CONCATENATE(TEXT(H126,"0.000000")," ",TEXT(I126,"0.000000")," ",TEXT(J126,"0.000000")," ",TEXT(K126,"0.000000"))</f>
        <v>-0.018979 0.000000 0.999820 0.000000</v>
      </c>
      <c r="N126" s="1"/>
      <c r="O126" s="1"/>
      <c r="Q126" s="104" t="s">
        <v>875</v>
      </c>
    </row>
    <row r="127" spans="1:18" hidden="1" x14ac:dyDescent="0.2">
      <c r="A127" s="26"/>
      <c r="G127" s="1"/>
      <c r="H127" s="19" t="s">
        <v>36</v>
      </c>
      <c r="I127" s="19" t="s">
        <v>37</v>
      </c>
      <c r="J127" s="19" t="s">
        <v>38</v>
      </c>
      <c r="K127" s="19" t="s">
        <v>882</v>
      </c>
      <c r="L127" s="19" t="s">
        <v>881</v>
      </c>
      <c r="M127" s="19" t="s">
        <v>523</v>
      </c>
      <c r="N127" s="19"/>
      <c r="O127" s="19"/>
      <c r="Q127" s="104" t="s">
        <v>876</v>
      </c>
    </row>
    <row r="128" spans="1:18" hidden="1" x14ac:dyDescent="0.2">
      <c r="G128" s="1" t="s">
        <v>39</v>
      </c>
      <c r="H128" s="19">
        <f>-2*H125*I125+2*J125*K125</f>
        <v>-3.7951185384982378E-2</v>
      </c>
      <c r="I128" s="19">
        <f>2*H125*J125+2*I125*K125</f>
        <v>0</v>
      </c>
      <c r="J128" s="19">
        <f>H125*H125-I125*I125-J125*J125+K125*K125</f>
        <v>0.99928029930280438</v>
      </c>
      <c r="K128" s="19">
        <f>IF(ABS(I128)&lt;0.99999,ATAN(I128/SQRT(H128*H128+J128*J128)),SIGN(I128)*1000)</f>
        <v>0</v>
      </c>
      <c r="L128" s="19">
        <f>IF(ABS(I128)&lt;0.99999,180/PI()*ATAN(I128/SQRT(H128*H128+J128*J128)),SIGN(I128)*90)</f>
        <v>0</v>
      </c>
      <c r="M128" s="19">
        <f>IF(ABS(H128)&gt;0.00001,IF(H128&gt;0,90-180/PI()*ATAN(J128/H128),-90-180/PI()*ATAN(J128/H128)),-90+SIGN(J128)*90)</f>
        <v>-2.1749635278804789</v>
      </c>
      <c r="N128" s="19"/>
      <c r="O128" s="19"/>
      <c r="Q128" s="104"/>
    </row>
    <row r="129" spans="3:17" hidden="1" x14ac:dyDescent="0.2">
      <c r="G129" s="1"/>
      <c r="H129" s="1"/>
      <c r="I129" s="1"/>
      <c r="J129" s="1"/>
      <c r="K129" s="1"/>
      <c r="L129" s="1"/>
      <c r="M129" s="1"/>
      <c r="N129" s="1"/>
      <c r="O129" s="1"/>
      <c r="Q129" s="104"/>
    </row>
    <row r="130" spans="3:17" hidden="1" x14ac:dyDescent="0.2">
      <c r="C130" s="1"/>
      <c r="D130" s="1"/>
      <c r="F130" s="1"/>
      <c r="G130" s="41" t="s">
        <v>919</v>
      </c>
      <c r="H130" s="1"/>
      <c r="I130" s="1" t="s">
        <v>183</v>
      </c>
      <c r="J130" s="1" t="s">
        <v>184</v>
      </c>
      <c r="K130" s="1" t="s">
        <v>185</v>
      </c>
      <c r="L130" s="153" t="s">
        <v>866</v>
      </c>
      <c r="M130" s="153" t="s">
        <v>937</v>
      </c>
      <c r="N130" s="153" t="s">
        <v>938</v>
      </c>
      <c r="O130" s="153" t="s">
        <v>939</v>
      </c>
      <c r="P130" s="153" t="s">
        <v>940</v>
      </c>
      <c r="Q130" s="104" t="s">
        <v>871</v>
      </c>
    </row>
    <row r="131" spans="3:17" hidden="1" x14ac:dyDescent="0.2">
      <c r="C131" s="1"/>
      <c r="D131" s="1"/>
      <c r="F131" s="1"/>
      <c r="G131" s="51" t="s">
        <v>170</v>
      </c>
      <c r="H131" s="1"/>
      <c r="I131" s="1">
        <f>I79</f>
        <v>0</v>
      </c>
      <c r="J131" s="1">
        <f>H79</f>
        <v>0.99927959528718036</v>
      </c>
      <c r="K131" s="1">
        <f>J79</f>
        <v>3.7951158647512195E-2</v>
      </c>
      <c r="L131" s="153" t="s">
        <v>867</v>
      </c>
      <c r="M131" s="153">
        <f>J125</f>
        <v>-1.8979004457047338E-2</v>
      </c>
      <c r="N131" s="153">
        <f>I125</f>
        <v>1.1626046262855349E-18</v>
      </c>
      <c r="O131" s="153">
        <f>K125</f>
        <v>0.99982023479872872</v>
      </c>
      <c r="P131" s="153">
        <f>H125</f>
        <v>6.124639640933683E-17</v>
      </c>
      <c r="Q131" s="104" t="s">
        <v>870</v>
      </c>
    </row>
    <row r="132" spans="3:17" hidden="1" x14ac:dyDescent="0.2">
      <c r="C132" s="1"/>
      <c r="D132" s="1"/>
      <c r="F132" s="1"/>
      <c r="G132" s="51"/>
      <c r="H132" s="1" t="s">
        <v>908</v>
      </c>
      <c r="I132" s="1" t="s">
        <v>909</v>
      </c>
      <c r="J132" s="1" t="s">
        <v>910</v>
      </c>
      <c r="K132" s="1" t="s">
        <v>911</v>
      </c>
      <c r="L132" s="153" t="s">
        <v>868</v>
      </c>
      <c r="M132" s="153" t="s">
        <v>910</v>
      </c>
      <c r="N132" s="153" t="s">
        <v>909</v>
      </c>
      <c r="O132" s="153" t="s">
        <v>911</v>
      </c>
      <c r="P132" s="153" t="s">
        <v>908</v>
      </c>
      <c r="Q132" s="104">
        <f>-H42*H42+I42*I42-J42*J42+K42*K42</f>
        <v>1.0000002348410002</v>
      </c>
    </row>
    <row r="133" spans="3:17" hidden="1" x14ac:dyDescent="0.2">
      <c r="C133" s="1"/>
      <c r="D133" s="1"/>
      <c r="F133" s="1"/>
      <c r="G133" s="1" t="s">
        <v>917</v>
      </c>
      <c r="H133" s="1">
        <f>N116</f>
        <v>1</v>
      </c>
      <c r="I133" s="1">
        <f>N117*I131</f>
        <v>0</v>
      </c>
      <c r="J133" s="1">
        <f>N117*J131</f>
        <v>0</v>
      </c>
      <c r="K133" s="1">
        <f>N117*K131</f>
        <v>0</v>
      </c>
      <c r="L133" s="153"/>
      <c r="M133" s="153">
        <f>J133</f>
        <v>0</v>
      </c>
      <c r="N133" s="153">
        <f>I133</f>
        <v>0</v>
      </c>
      <c r="O133" s="153">
        <f>K133</f>
        <v>0</v>
      </c>
      <c r="P133" s="153">
        <f>H133</f>
        <v>1</v>
      </c>
      <c r="Q133" s="104">
        <f>2*H42*I42+2*J42*K42</f>
        <v>0</v>
      </c>
    </row>
    <row r="134" spans="3:17" hidden="1" x14ac:dyDescent="0.2">
      <c r="C134" s="1"/>
      <c r="D134" s="1"/>
      <c r="F134" s="1"/>
      <c r="G134" s="1" t="s">
        <v>915</v>
      </c>
      <c r="H134" s="19">
        <f>H133*H125-I133*I125-J133*J125-K133*K125</f>
        <v>6.124639640933683E-17</v>
      </c>
      <c r="I134" s="19">
        <f>H133*I125+I133*H125+J133*K125-K133*J125</f>
        <v>1.1626046262855349E-18</v>
      </c>
      <c r="J134" s="19">
        <f>H133*J125-I133*K125+J133*H125+K133*I125</f>
        <v>-1.8979004457047338E-2</v>
      </c>
      <c r="K134" s="19">
        <f>H133*K125+I133*J125-J133*I125+K133*H125</f>
        <v>0.99982023479872872</v>
      </c>
      <c r="L134" s="153" t="s">
        <v>914</v>
      </c>
      <c r="M134" s="153">
        <f>M133*P131-N133*O131+O133*N131+P133*M131</f>
        <v>-1.8979004457047338E-2</v>
      </c>
      <c r="N134" s="153">
        <f>M133*O131+N133*P131-O133*M131+P133*N131</f>
        <v>1.1626046262855349E-18</v>
      </c>
      <c r="O134" s="153">
        <f>-M133*N131+N133*M131+O133*P131+P133*O131</f>
        <v>0.99982023479872872</v>
      </c>
      <c r="P134" s="153">
        <f>-M133*M131-N133*N131-O133*O131+P133*P131</f>
        <v>6.124639640933683E-17</v>
      </c>
      <c r="Q134" s="104">
        <f>-2*H42*K42+2*I42*J42</f>
        <v>0</v>
      </c>
    </row>
    <row r="135" spans="3:17" hidden="1" x14ac:dyDescent="0.2">
      <c r="C135" s="1"/>
      <c r="D135" s="1"/>
      <c r="F135" s="1"/>
      <c r="G135" s="1" t="s">
        <v>848</v>
      </c>
      <c r="H135" s="1">
        <f>J134</f>
        <v>-1.8979004457047338E-2</v>
      </c>
      <c r="I135" s="1">
        <f>I134</f>
        <v>1.1626046262855349E-18</v>
      </c>
      <c r="J135" s="1">
        <f>K134</f>
        <v>0.99982023479872872</v>
      </c>
      <c r="K135" s="1">
        <f>H134</f>
        <v>6.124639640933683E-17</v>
      </c>
      <c r="L135" s="1" t="s">
        <v>878</v>
      </c>
      <c r="M135" s="1" t="str">
        <f>CONCATENATE(TEXT(H135,"0.000000")," ",TEXT(I135,"0.000000")," ",TEXT(J135,"0.000000")," ",TEXT(K135,"0.000000"))</f>
        <v>-0.018979 0.000000 0.999820 0.000000</v>
      </c>
      <c r="N135" s="1"/>
      <c r="O135" s="1"/>
      <c r="Q135" s="104"/>
    </row>
    <row r="136" spans="3:17" hidden="1" x14ac:dyDescent="0.2">
      <c r="G136" s="1"/>
      <c r="H136" s="19" t="s">
        <v>36</v>
      </c>
      <c r="I136" s="19" t="s">
        <v>37</v>
      </c>
      <c r="J136" s="19" t="s">
        <v>38</v>
      </c>
      <c r="K136" s="19" t="s">
        <v>882</v>
      </c>
      <c r="L136" s="19" t="s">
        <v>881</v>
      </c>
      <c r="M136" s="19" t="s">
        <v>523</v>
      </c>
      <c r="N136" s="1"/>
      <c r="O136" s="1"/>
      <c r="Q136" s="104"/>
    </row>
    <row r="137" spans="3:17" hidden="1" x14ac:dyDescent="0.2">
      <c r="G137" s="1" t="s">
        <v>39</v>
      </c>
      <c r="H137" s="19">
        <f>-2*H134*I134+2*J134*K134</f>
        <v>-3.7951185384982378E-2</v>
      </c>
      <c r="I137" s="19">
        <f>2*H134*J134+2*I134*K134</f>
        <v>0</v>
      </c>
      <c r="J137" s="19">
        <f>H134*H134-I134*I134-J134*J134+K134*K134</f>
        <v>0.99928029930280438</v>
      </c>
      <c r="K137" s="19">
        <f>IF(ABS(I137)&lt;0.99999,ATAN(I137/SQRT(H137*H137+J137*J137)),SIGN(I137)*1000)</f>
        <v>0</v>
      </c>
      <c r="L137" s="19">
        <f>IF(ABS(I137)&lt;0.99999,180/PI()*ATAN(I137/SQRT(H137*H137+J137*J137)),SIGN(I137)*90)</f>
        <v>0</v>
      </c>
      <c r="M137" s="19">
        <f>IF(ABS(H137)&gt;0.00001,IF(H137&gt;0,90-180/PI()*ATAN(J137/H137),-90-180/PI()*ATAN(J137/H137)),-90+SIGN(J137)*90)</f>
        <v>-2.1749635278804789</v>
      </c>
      <c r="N137" s="19"/>
      <c r="O137" s="19"/>
      <c r="Q137" s="104"/>
    </row>
    <row r="138" spans="3:17" hidden="1" x14ac:dyDescent="0.2">
      <c r="G138" s="1"/>
      <c r="H138" s="19"/>
      <c r="I138" s="19"/>
      <c r="J138" s="19"/>
      <c r="K138" s="19"/>
      <c r="L138" s="19"/>
      <c r="M138" s="19"/>
      <c r="N138" s="19"/>
      <c r="O138" s="19"/>
      <c r="Q138" s="104"/>
    </row>
    <row r="139" spans="3:17" hidden="1" x14ac:dyDescent="0.2">
      <c r="G139" s="41" t="s">
        <v>920</v>
      </c>
      <c r="H139" s="1"/>
      <c r="I139" s="1" t="s">
        <v>183</v>
      </c>
      <c r="J139" s="1" t="s">
        <v>184</v>
      </c>
      <c r="K139" s="1" t="s">
        <v>185</v>
      </c>
      <c r="L139" s="153" t="s">
        <v>866</v>
      </c>
      <c r="M139" s="153" t="s">
        <v>937</v>
      </c>
      <c r="N139" s="153" t="s">
        <v>938</v>
      </c>
      <c r="O139" s="153" t="s">
        <v>939</v>
      </c>
      <c r="P139" s="153" t="s">
        <v>940</v>
      </c>
      <c r="Q139" s="104" t="s">
        <v>872</v>
      </c>
    </row>
    <row r="140" spans="3:17" hidden="1" x14ac:dyDescent="0.2">
      <c r="G140" s="51" t="s">
        <v>171</v>
      </c>
      <c r="H140" s="1"/>
      <c r="I140" s="1">
        <f>I100</f>
        <v>0.99999999999999989</v>
      </c>
      <c r="J140" s="1">
        <f>H100</f>
        <v>0</v>
      </c>
      <c r="K140" s="1">
        <f>J100</f>
        <v>8.7305379939395245E-17</v>
      </c>
      <c r="L140" s="153" t="s">
        <v>867</v>
      </c>
      <c r="M140" s="153">
        <f>J134</f>
        <v>-1.8979004457047338E-2</v>
      </c>
      <c r="N140" s="153">
        <f>I134</f>
        <v>1.1626046262855349E-18</v>
      </c>
      <c r="O140" s="153">
        <f>K134</f>
        <v>0.99982023479872872</v>
      </c>
      <c r="P140" s="153">
        <f>H134</f>
        <v>6.124639640933683E-17</v>
      </c>
      <c r="Q140" s="104" t="s">
        <v>870</v>
      </c>
    </row>
    <row r="141" spans="3:17" hidden="1" x14ac:dyDescent="0.2">
      <c r="G141" s="51"/>
      <c r="H141" s="1" t="s">
        <v>908</v>
      </c>
      <c r="I141" s="1" t="s">
        <v>909</v>
      </c>
      <c r="J141" s="1" t="s">
        <v>910</v>
      </c>
      <c r="K141" s="1" t="s">
        <v>911</v>
      </c>
      <c r="L141" s="153" t="s">
        <v>868</v>
      </c>
      <c r="M141" s="153" t="s">
        <v>910</v>
      </c>
      <c r="N141" s="153" t="s">
        <v>909</v>
      </c>
      <c r="O141" s="153" t="s">
        <v>911</v>
      </c>
      <c r="P141" s="153" t="s">
        <v>908</v>
      </c>
      <c r="Q141" s="104">
        <f>2*H42*I42-2*J42*K42</f>
        <v>0</v>
      </c>
    </row>
    <row r="142" spans="3:17" hidden="1" x14ac:dyDescent="0.2">
      <c r="G142" s="1" t="s">
        <v>922</v>
      </c>
      <c r="H142" s="1">
        <f>M116</f>
        <v>1</v>
      </c>
      <c r="I142" s="1">
        <f>M117*I140</f>
        <v>0</v>
      </c>
      <c r="J142" s="1">
        <f>M117*J140</f>
        <v>0</v>
      </c>
      <c r="K142" s="1">
        <f>M117*K140</f>
        <v>0</v>
      </c>
      <c r="L142" s="153"/>
      <c r="M142" s="153">
        <f>J142</f>
        <v>0</v>
      </c>
      <c r="N142" s="153">
        <f>I142</f>
        <v>0</v>
      </c>
      <c r="O142" s="153">
        <f>K142</f>
        <v>0</v>
      </c>
      <c r="P142" s="153">
        <f>H142</f>
        <v>1</v>
      </c>
      <c r="Q142" s="104">
        <f>H42*H42-I42*I42-J42*J42+K42*K42</f>
        <v>0.99927982995900011</v>
      </c>
    </row>
    <row r="143" spans="3:17" hidden="1" x14ac:dyDescent="0.2">
      <c r="G143" s="1" t="s">
        <v>921</v>
      </c>
      <c r="H143" s="19">
        <f>H142*H134-I142*I134-J142*J134-K142*K134</f>
        <v>6.124639640933683E-17</v>
      </c>
      <c r="I143" s="19">
        <f>H142*I134+I142*H134+J142*K134-K142*J134</f>
        <v>1.1626046262855349E-18</v>
      </c>
      <c r="J143" s="19">
        <f>H142*J134-I142*K134+J142*H134+K142*I134</f>
        <v>-1.8979004457047338E-2</v>
      </c>
      <c r="K143" s="19">
        <f>H142*K134+I142*J134-J142*I134+K142*H134</f>
        <v>0.99982023479872872</v>
      </c>
      <c r="L143" s="153" t="s">
        <v>914</v>
      </c>
      <c r="M143" s="153">
        <f>M142*P140-N142*O140+O142*N140+P142*M140</f>
        <v>-1.8979004457047338E-2</v>
      </c>
      <c r="N143" s="153">
        <f>M142*O140+N142*P140-O142*M140+P142*N140</f>
        <v>1.1626046262855349E-18</v>
      </c>
      <c r="O143" s="153">
        <f>-M142*N140+N142*M140+O142*P140+P142*O140</f>
        <v>0.99982023479872872</v>
      </c>
      <c r="P143" s="153">
        <f>-M142*M140-N142*N140-O142*O140+P142*P140</f>
        <v>6.124639640933683E-17</v>
      </c>
      <c r="Q143" s="104">
        <f>2*H42*J42+2*I42*K42</f>
        <v>3.7951167559999999E-2</v>
      </c>
    </row>
    <row r="144" spans="3:17" hidden="1" x14ac:dyDescent="0.2">
      <c r="G144" s="1" t="s">
        <v>848</v>
      </c>
      <c r="H144" s="1">
        <f>J143</f>
        <v>-1.8979004457047338E-2</v>
      </c>
      <c r="I144" s="1">
        <f>I143</f>
        <v>1.1626046262855349E-18</v>
      </c>
      <c r="J144" s="1">
        <f>K143</f>
        <v>0.99982023479872872</v>
      </c>
      <c r="K144" s="1">
        <f>H143</f>
        <v>6.124639640933683E-17</v>
      </c>
      <c r="L144" s="1" t="s">
        <v>878</v>
      </c>
      <c r="M144" s="1" t="str">
        <f>CONCATENATE(TEXT(H144,"0.000000")," ",TEXT(I144,"0.000000")," ",TEXT(J144,"0.000000")," ",TEXT(K144,"0.000000"))</f>
        <v>-0.018979 0.000000 0.999820 0.000000</v>
      </c>
      <c r="N144" s="19"/>
      <c r="O144" s="19"/>
    </row>
    <row r="145" spans="1:22" hidden="1" x14ac:dyDescent="0.2">
      <c r="G145" s="1"/>
      <c r="H145" s="19" t="s">
        <v>36</v>
      </c>
      <c r="I145" s="19" t="s">
        <v>37</v>
      </c>
      <c r="J145" s="19" t="s">
        <v>38</v>
      </c>
      <c r="K145" s="19" t="s">
        <v>882</v>
      </c>
      <c r="L145" s="19" t="s">
        <v>881</v>
      </c>
      <c r="M145" s="19" t="s">
        <v>523</v>
      </c>
      <c r="N145" s="19"/>
      <c r="O145" s="19"/>
    </row>
    <row r="146" spans="1:22" hidden="1" x14ac:dyDescent="0.2">
      <c r="G146" s="1" t="s">
        <v>39</v>
      </c>
      <c r="H146" s="19">
        <f>-2*H143*I143+2*J143*K143</f>
        <v>-3.7951185384982378E-2</v>
      </c>
      <c r="I146" s="19">
        <f>2*H143*J143+2*I143*K143</f>
        <v>0</v>
      </c>
      <c r="J146" s="19">
        <f>H143*H143-I143*I143-J143*J143+K143*K143</f>
        <v>0.99928029930280438</v>
      </c>
      <c r="K146" s="19">
        <f>IF(ABS(I146)&lt;0.99999,ATAN(I146/SQRT(H146*H146+J146*J146)),SIGN(I146)*1000)</f>
        <v>0</v>
      </c>
      <c r="L146" s="19">
        <f>IF(ABS(I146)&lt;0.99999,180/PI()*ATAN(I146/SQRT(H146*H146+J146*J146)),SIGN(I146)*90)</f>
        <v>0</v>
      </c>
      <c r="M146" s="19">
        <f>IF(ABS(H146)&gt;0.00001,IF(H146&gt;0,90-180/PI()*ATAN(J146/H146),-90-180/PI()*ATAN(J146/H146)),-90+SIGN(J146)*90)</f>
        <v>-2.1749635278804789</v>
      </c>
      <c r="N146" s="19"/>
      <c r="O146" s="19"/>
    </row>
    <row r="147" spans="1:22" hidden="1" x14ac:dyDescent="0.2">
      <c r="G147" s="1"/>
      <c r="H147" s="19"/>
      <c r="I147" s="19"/>
      <c r="J147" s="19"/>
      <c r="K147" s="19"/>
      <c r="L147" s="19"/>
      <c r="M147" s="21"/>
      <c r="N147" s="19"/>
      <c r="O147" s="19"/>
    </row>
    <row r="148" spans="1:22" x14ac:dyDescent="0.2">
      <c r="A148" s="56" t="s">
        <v>877</v>
      </c>
      <c r="B148" s="13" t="s">
        <v>878</v>
      </c>
      <c r="C148" s="65" t="str">
        <f>M144</f>
        <v>-0.018979 0.000000 0.999820 0.000000</v>
      </c>
      <c r="D148" s="2"/>
      <c r="E148" s="2"/>
      <c r="F148" s="59"/>
      <c r="G148" s="16"/>
      <c r="H148" s="15"/>
      <c r="I148" s="2"/>
      <c r="J148" s="2"/>
      <c r="K148" s="2"/>
      <c r="O148" s="1"/>
      <c r="P148" s="1"/>
      <c r="Q148" s="1"/>
      <c r="R148" s="59"/>
    </row>
    <row r="149" spans="1:22" x14ac:dyDescent="0.2">
      <c r="O149" s="1"/>
      <c r="P149" s="1"/>
      <c r="Q149" s="1"/>
      <c r="R149" s="34"/>
      <c r="S149" s="1"/>
      <c r="T149" s="34"/>
      <c r="U149" s="34"/>
      <c r="V149" s="1"/>
    </row>
    <row r="150" spans="1:22" x14ac:dyDescent="0.2">
      <c r="A150" t="s">
        <v>172</v>
      </c>
      <c r="O150" s="1"/>
      <c r="P150" s="1"/>
      <c r="Q150" s="1"/>
      <c r="R150" s="34"/>
      <c r="S150" s="1"/>
      <c r="T150" s="34"/>
      <c r="U150" s="34"/>
      <c r="V150" s="1"/>
    </row>
    <row r="151" spans="1:22" x14ac:dyDescent="0.2">
      <c r="B151" t="s">
        <v>932</v>
      </c>
      <c r="O151" s="1"/>
      <c r="P151" s="1"/>
      <c r="Q151" s="1"/>
      <c r="R151" s="34"/>
      <c r="S151" s="1"/>
      <c r="T151" s="34"/>
      <c r="U151" s="34"/>
      <c r="V151" s="1"/>
    </row>
    <row r="152" spans="1:22" x14ac:dyDescent="0.2">
      <c r="O152" s="1"/>
      <c r="P152" s="1"/>
      <c r="Q152" s="1"/>
      <c r="R152" s="34"/>
      <c r="S152" s="1"/>
      <c r="T152" s="34"/>
      <c r="U152" s="34"/>
      <c r="V152" s="1"/>
    </row>
    <row r="153" spans="1:22" x14ac:dyDescent="0.2">
      <c r="A153" s="82" t="s">
        <v>1301</v>
      </c>
      <c r="B153" s="10"/>
      <c r="C153" s="10"/>
      <c r="D153" s="10"/>
      <c r="O153" s="1"/>
      <c r="P153" s="1"/>
      <c r="Q153" s="1"/>
      <c r="R153" s="34"/>
      <c r="S153" s="1"/>
      <c r="T153" s="34"/>
      <c r="U153" s="34"/>
      <c r="V153" s="1"/>
    </row>
    <row r="154" spans="1:22" x14ac:dyDescent="0.2">
      <c r="O154" s="1"/>
      <c r="P154" s="1"/>
      <c r="Q154" s="1"/>
      <c r="R154" s="34"/>
      <c r="S154" s="1"/>
      <c r="T154" s="34"/>
      <c r="U154" s="34"/>
      <c r="V154" s="1"/>
    </row>
    <row r="155" spans="1:22" x14ac:dyDescent="0.2">
      <c r="A155" s="82" t="s">
        <v>621</v>
      </c>
      <c r="B155" s="10"/>
      <c r="C155" s="10"/>
      <c r="D155" s="10"/>
      <c r="E155" s="10"/>
      <c r="F155" s="10"/>
      <c r="G155" s="10"/>
      <c r="O155" s="1"/>
      <c r="P155" s="1"/>
      <c r="Q155" s="1"/>
      <c r="R155" s="140"/>
      <c r="S155" s="1"/>
      <c r="T155" s="34"/>
      <c r="U155" s="34"/>
      <c r="V155" s="1"/>
    </row>
    <row r="156" spans="1:22" s="132" customFormat="1" ht="13.5" thickBot="1" x14ac:dyDescent="0.25">
      <c r="O156" s="133"/>
      <c r="P156" s="133"/>
      <c r="Q156" s="133"/>
      <c r="R156" s="134"/>
      <c r="S156" s="133"/>
      <c r="T156" s="134"/>
      <c r="U156" s="134"/>
      <c r="V156" s="133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5"/>
  <sheetViews>
    <sheetView workbookViewId="0">
      <pane ySplit="9135" topLeftCell="A173"/>
      <selection activeCell="A2" sqref="A2"/>
      <selection pane="bottomLeft" activeCell="A158" sqref="A158"/>
    </sheetView>
  </sheetViews>
  <sheetFormatPr defaultRowHeight="12.75" x14ac:dyDescent="0.2"/>
  <cols>
    <col min="1" max="1" width="10.28515625" customWidth="1"/>
    <col min="2" max="2" width="11.5703125" customWidth="1"/>
    <col min="4" max="4" width="14.85546875" customWidth="1"/>
    <col min="6" max="6" width="8.85546875" customWidth="1"/>
    <col min="7" max="7" width="12.140625" hidden="1" customWidth="1"/>
    <col min="8" max="12" width="0" hidden="1" customWidth="1"/>
    <col min="13" max="13" width="12.42578125" hidden="1" customWidth="1"/>
    <col min="14" max="19" width="0" hidden="1" customWidth="1"/>
    <col min="20" max="20" width="12.28515625" hidden="1" customWidth="1"/>
    <col min="21" max="21" width="11.7109375" hidden="1" customWidth="1"/>
    <col min="22" max="22" width="0" hidden="1" customWidth="1"/>
  </cols>
  <sheetData>
    <row r="1" spans="1:12" s="5" customFormat="1" x14ac:dyDescent="0.2">
      <c r="A1" s="14" t="s">
        <v>255</v>
      </c>
      <c r="B1" s="14"/>
      <c r="C1" s="7"/>
      <c r="D1" s="7"/>
      <c r="E1" s="7"/>
      <c r="F1" s="7"/>
      <c r="G1" s="7"/>
      <c r="H1" s="7"/>
      <c r="I1" s="7"/>
      <c r="J1" s="7"/>
      <c r="K1" s="7"/>
      <c r="L1" s="7"/>
    </row>
    <row r="3" spans="1:12" x14ac:dyDescent="0.2">
      <c r="A3" s="33" t="s">
        <v>1028</v>
      </c>
    </row>
    <row r="4" spans="1:12" x14ac:dyDescent="0.2">
      <c r="A4" s="33"/>
      <c r="B4" t="s">
        <v>256</v>
      </c>
    </row>
    <row r="5" spans="1:12" x14ac:dyDescent="0.2">
      <c r="A5" s="33"/>
      <c r="B5" t="s">
        <v>1036</v>
      </c>
    </row>
    <row r="6" spans="1:12" x14ac:dyDescent="0.2">
      <c r="B6" t="s">
        <v>259</v>
      </c>
    </row>
    <row r="8" spans="1:12" x14ac:dyDescent="0.2">
      <c r="B8" s="23" t="s">
        <v>1167</v>
      </c>
    </row>
    <row r="9" spans="1:12" x14ac:dyDescent="0.2">
      <c r="B9" t="s">
        <v>260</v>
      </c>
    </row>
    <row r="11" spans="1:12" x14ac:dyDescent="0.2">
      <c r="A11" t="s">
        <v>1040</v>
      </c>
    </row>
    <row r="12" spans="1:12" x14ac:dyDescent="0.2">
      <c r="A12" t="s">
        <v>1136</v>
      </c>
    </row>
    <row r="13" spans="1:12" x14ac:dyDescent="0.2">
      <c r="A13" t="s">
        <v>229</v>
      </c>
    </row>
    <row r="15" spans="1:12" x14ac:dyDescent="0.2">
      <c r="A15" t="s">
        <v>1041</v>
      </c>
    </row>
    <row r="16" spans="1:12" x14ac:dyDescent="0.2">
      <c r="A16" t="s">
        <v>362</v>
      </c>
    </row>
    <row r="18" spans="1:8" x14ac:dyDescent="0.2">
      <c r="B18" s="14" t="s">
        <v>363</v>
      </c>
      <c r="C18" s="3" t="s">
        <v>375</v>
      </c>
    </row>
    <row r="19" spans="1:8" x14ac:dyDescent="0.2">
      <c r="C19" s="3" t="s">
        <v>1146</v>
      </c>
    </row>
    <row r="20" spans="1:8" x14ac:dyDescent="0.2">
      <c r="C20" s="3" t="s">
        <v>1147</v>
      </c>
    </row>
    <row r="22" spans="1:8" x14ac:dyDescent="0.2">
      <c r="B22" s="14" t="s">
        <v>1134</v>
      </c>
      <c r="C22" s="3" t="s">
        <v>376</v>
      </c>
    </row>
    <row r="23" spans="1:8" x14ac:dyDescent="0.2">
      <c r="C23" s="3" t="s">
        <v>1161</v>
      </c>
    </row>
    <row r="24" spans="1:8" x14ac:dyDescent="0.2">
      <c r="C24" s="3" t="s">
        <v>1162</v>
      </c>
    </row>
    <row r="26" spans="1:8" x14ac:dyDescent="0.2">
      <c r="B26" s="14" t="s">
        <v>1135</v>
      </c>
      <c r="C26" s="3" t="s">
        <v>377</v>
      </c>
    </row>
    <row r="27" spans="1:8" x14ac:dyDescent="0.2">
      <c r="C27" s="3" t="s">
        <v>1163</v>
      </c>
    </row>
    <row r="28" spans="1:8" x14ac:dyDescent="0.2">
      <c r="C28" s="3" t="s">
        <v>1164</v>
      </c>
    </row>
    <row r="29" spans="1:8" x14ac:dyDescent="0.2">
      <c r="C29" s="3"/>
    </row>
    <row r="30" spans="1:8" s="27" customFormat="1" x14ac:dyDescent="0.2">
      <c r="A30" s="8" t="s">
        <v>839</v>
      </c>
      <c r="B30" s="8"/>
      <c r="C30" s="8" t="s">
        <v>879</v>
      </c>
      <c r="D30" s="8"/>
      <c r="E30" s="8"/>
      <c r="F30" s="8"/>
      <c r="G30" s="8"/>
      <c r="H30" s="8"/>
    </row>
    <row r="31" spans="1:8" x14ac:dyDescent="0.2">
      <c r="C31" t="s">
        <v>1138</v>
      </c>
    </row>
    <row r="32" spans="1:8" x14ac:dyDescent="0.2">
      <c r="B32" t="s">
        <v>840</v>
      </c>
      <c r="C32" t="s">
        <v>1137</v>
      </c>
    </row>
    <row r="33" spans="1:14" x14ac:dyDescent="0.2">
      <c r="C33" t="s">
        <v>841</v>
      </c>
    </row>
    <row r="35" spans="1:14" s="38" customFormat="1" x14ac:dyDescent="0.2">
      <c r="A35" s="9" t="s">
        <v>98</v>
      </c>
      <c r="B35" s="9"/>
      <c r="C35" s="9"/>
      <c r="D35" s="9"/>
    </row>
    <row r="36" spans="1:14" x14ac:dyDescent="0.2">
      <c r="A36" s="16" t="s">
        <v>99</v>
      </c>
      <c r="B36" s="16" t="s">
        <v>1034</v>
      </c>
      <c r="C36" s="16"/>
      <c r="D36" s="16"/>
    </row>
    <row r="37" spans="1:14" x14ac:dyDescent="0.2">
      <c r="A37" s="16"/>
      <c r="B37" s="21" t="s">
        <v>1139</v>
      </c>
      <c r="C37" s="21"/>
      <c r="D37" s="16"/>
    </row>
    <row r="38" spans="1:14" x14ac:dyDescent="0.2">
      <c r="A38" s="16"/>
      <c r="B38" s="21"/>
      <c r="C38" s="21" t="s">
        <v>1140</v>
      </c>
      <c r="D38" s="16"/>
    </row>
    <row r="39" spans="1:14" x14ac:dyDescent="0.2">
      <c r="A39" s="16"/>
      <c r="B39" s="21" t="s">
        <v>923</v>
      </c>
      <c r="C39" s="16"/>
      <c r="D39" s="16"/>
    </row>
    <row r="40" spans="1:14" s="28" customFormat="1" ht="13.5" thickBot="1" x14ac:dyDescent="0.25"/>
    <row r="41" spans="1:14" s="27" customFormat="1" x14ac:dyDescent="0.2">
      <c r="A41" s="8" t="s">
        <v>230</v>
      </c>
      <c r="B41" s="8"/>
      <c r="C41" s="8"/>
      <c r="D41" s="8"/>
      <c r="E41" s="8"/>
      <c r="F41" s="8"/>
    </row>
    <row r="43" spans="1:14" x14ac:dyDescent="0.2">
      <c r="A43" s="82" t="s">
        <v>432</v>
      </c>
      <c r="B43" s="11"/>
      <c r="C43" s="11"/>
      <c r="D43" s="11"/>
      <c r="E43" s="11"/>
      <c r="F43" s="11"/>
    </row>
    <row r="44" spans="1:14" x14ac:dyDescent="0.2">
      <c r="B44" t="s">
        <v>1101</v>
      </c>
    </row>
    <row r="45" spans="1:14" x14ac:dyDescent="0.2">
      <c r="A45" t="s">
        <v>231</v>
      </c>
    </row>
    <row r="46" spans="1:14" x14ac:dyDescent="0.2">
      <c r="B46" t="s">
        <v>232</v>
      </c>
    </row>
    <row r="48" spans="1:14" x14ac:dyDescent="0.2">
      <c r="A48" s="35" t="s">
        <v>233</v>
      </c>
      <c r="L48" s="1"/>
      <c r="M48" s="1"/>
      <c r="N48" s="1"/>
    </row>
    <row r="49" spans="1:23" x14ac:dyDescent="0.2">
      <c r="A49" s="35"/>
      <c r="B49" t="s">
        <v>234</v>
      </c>
      <c r="H49" s="19" t="s">
        <v>937</v>
      </c>
      <c r="I49" s="19" t="s">
        <v>938</v>
      </c>
      <c r="J49" s="19" t="s">
        <v>939</v>
      </c>
      <c r="K49" s="19" t="s">
        <v>940</v>
      </c>
      <c r="L49" s="1"/>
      <c r="M49" s="1"/>
      <c r="N49" s="1"/>
      <c r="O49" s="34"/>
      <c r="P49" s="1"/>
      <c r="Q49" s="34"/>
      <c r="R49" s="34"/>
      <c r="S49" s="1"/>
    </row>
    <row r="50" spans="1:23" x14ac:dyDescent="0.2">
      <c r="A50" s="80" t="s">
        <v>610</v>
      </c>
      <c r="B50" s="67" t="s">
        <v>152</v>
      </c>
      <c r="C50" s="2"/>
      <c r="D50" s="2"/>
      <c r="E50" s="2"/>
      <c r="G50" s="1" t="s">
        <v>936</v>
      </c>
      <c r="H50" s="19">
        <f>VALUE(MID(B50,1,H51-1))</f>
        <v>0</v>
      </c>
      <c r="I50" s="19">
        <f>VALUE(MID(B50,H51+1,I51-H51-1))</f>
        <v>0</v>
      </c>
      <c r="J50" s="19">
        <f>VALUE(MID(B50,I51+1,J51-I51-1))</f>
        <v>0</v>
      </c>
      <c r="K50" s="19">
        <f>VALUE(MID(B50,J51+1,K51-J51))</f>
        <v>1</v>
      </c>
      <c r="L50" s="1"/>
      <c r="M50" s="1"/>
      <c r="N50" s="1"/>
      <c r="O50" s="1"/>
      <c r="P50" s="1"/>
      <c r="Q50" s="1"/>
      <c r="R50" s="1"/>
      <c r="S50" s="1"/>
    </row>
    <row r="51" spans="1:23" x14ac:dyDescent="0.2">
      <c r="A51" t="s">
        <v>235</v>
      </c>
      <c r="D51" s="15"/>
      <c r="H51" s="1">
        <f>SEARCH(" ",B50,1)</f>
        <v>2</v>
      </c>
      <c r="I51" s="1">
        <f>SEARCH(" ",B50,H51+1)</f>
        <v>4</v>
      </c>
      <c r="J51" s="1">
        <f>SEARCH(" ",B50,I51+1)</f>
        <v>6</v>
      </c>
      <c r="K51" s="1">
        <f>LEN(B50)</f>
        <v>7</v>
      </c>
      <c r="L51" s="19"/>
      <c r="M51" s="2"/>
      <c r="N51" s="2"/>
      <c r="O51" s="2"/>
      <c r="P51" s="2"/>
      <c r="Q51" s="2"/>
      <c r="R51" s="2"/>
      <c r="S51" s="2"/>
    </row>
    <row r="52" spans="1:23" x14ac:dyDescent="0.2">
      <c r="D52" s="15"/>
      <c r="F52" s="59"/>
      <c r="G52" s="1" t="s">
        <v>941</v>
      </c>
      <c r="H52" s="1" t="s">
        <v>940</v>
      </c>
      <c r="I52" s="1" t="s">
        <v>938</v>
      </c>
      <c r="J52" s="1" t="s">
        <v>937</v>
      </c>
      <c r="K52" s="1" t="s">
        <v>939</v>
      </c>
      <c r="L52" s="19" t="s">
        <v>36</v>
      </c>
      <c r="M52" s="19" t="s">
        <v>37</v>
      </c>
      <c r="N52" s="19" t="s">
        <v>38</v>
      </c>
      <c r="O52" s="37" t="s">
        <v>882</v>
      </c>
      <c r="P52" s="4" t="s">
        <v>881</v>
      </c>
      <c r="Q52" s="4" t="s">
        <v>499</v>
      </c>
      <c r="R52" s="4"/>
      <c r="S52" s="2"/>
      <c r="W52" s="59"/>
    </row>
    <row r="53" spans="1:23" hidden="1" x14ac:dyDescent="0.2">
      <c r="D53" s="15"/>
      <c r="H53" s="19">
        <f>K50</f>
        <v>1</v>
      </c>
      <c r="I53" s="19">
        <f>I50</f>
        <v>0</v>
      </c>
      <c r="J53" s="19">
        <f>H50</f>
        <v>0</v>
      </c>
      <c r="K53" s="19">
        <f>J50</f>
        <v>0</v>
      </c>
      <c r="L53" s="19">
        <f>-2*H53*I53+2*J53*K53</f>
        <v>0</v>
      </c>
      <c r="M53" s="19">
        <f>2*H53*J53+2*I53*K53</f>
        <v>0</v>
      </c>
      <c r="N53" s="19">
        <f>H53*H53-I53*I53-J53*J53+K53*K53</f>
        <v>1</v>
      </c>
      <c r="O53" s="37">
        <f>IF(ABS(M53)&lt;0.99999,ATAN(M53/SQRT(L53*L53+N53*N53)),SIGN(M53)*1000)</f>
        <v>0</v>
      </c>
      <c r="P53" s="4">
        <f>IF(ABS(M53)&lt;0.99999,180/PI()*ATAN(M53/SQRT(L53*L53+N53*N53)),SIGN(M53)*90)</f>
        <v>0</v>
      </c>
      <c r="Q53" s="4">
        <f>IF(ABS(L53)&gt;0.00001,IF(L53&gt;0,90-180/PI()*ATAN(N53/L53),-90-180/PI()*ATAN(N53/L53)),-90+SIGN(N53)*90)</f>
        <v>0</v>
      </c>
      <c r="R53" s="2"/>
      <c r="S53" s="2"/>
    </row>
    <row r="54" spans="1:23" s="45" customFormat="1" hidden="1" x14ac:dyDescent="0.2">
      <c r="A54" s="46"/>
      <c r="D54" s="51" t="s">
        <v>524</v>
      </c>
      <c r="E54" s="51">
        <v>0</v>
      </c>
      <c r="G54" s="1"/>
      <c r="H54" s="1" t="s">
        <v>860</v>
      </c>
      <c r="I54" s="1" t="s">
        <v>861</v>
      </c>
      <c r="J54" s="1" t="s">
        <v>862</v>
      </c>
      <c r="K54" s="1" t="s">
        <v>863</v>
      </c>
      <c r="L54" s="1"/>
      <c r="M54" s="1" t="s">
        <v>163</v>
      </c>
      <c r="N54" s="1" t="s">
        <v>526</v>
      </c>
      <c r="O54" s="1" t="s">
        <v>527</v>
      </c>
      <c r="P54" s="154"/>
      <c r="Q54" s="155" t="s">
        <v>509</v>
      </c>
      <c r="R54" s="154"/>
      <c r="S54" s="154"/>
      <c r="T54" s="154"/>
      <c r="U54" s="154"/>
      <c r="V54" s="154"/>
    </row>
    <row r="55" spans="1:23" s="45" customFormat="1" hidden="1" x14ac:dyDescent="0.2">
      <c r="A55" s="46"/>
      <c r="D55" s="51" t="s">
        <v>525</v>
      </c>
      <c r="E55" s="51">
        <v>0</v>
      </c>
      <c r="G55" s="1" t="s">
        <v>864</v>
      </c>
      <c r="H55" s="19">
        <f>M55*N55*O55+M56*N56*O56</f>
        <v>1</v>
      </c>
      <c r="I55" s="19">
        <f>M56*N55*O55-M55*N56*O56</f>
        <v>0</v>
      </c>
      <c r="J55" s="19">
        <f>M55*N56*O55+M56*N55*O56</f>
        <v>0</v>
      </c>
      <c r="K55" s="19">
        <f>M55*N55*O56-M56*N56*O55</f>
        <v>0</v>
      </c>
      <c r="L55" s="20" t="s">
        <v>34</v>
      </c>
      <c r="M55" s="1">
        <f>COS(-0.5*E56*PI()/180)</f>
        <v>1</v>
      </c>
      <c r="N55" s="1">
        <f>COS(0.5*E55*PI()/180)</f>
        <v>1</v>
      </c>
      <c r="O55" s="1">
        <f>COS(0.5*E54*PI()/180)</f>
        <v>1</v>
      </c>
      <c r="P55" s="157" t="s">
        <v>513</v>
      </c>
      <c r="Q55" s="156" t="s">
        <v>238</v>
      </c>
      <c r="R55" s="156" t="s">
        <v>239</v>
      </c>
      <c r="S55" s="156" t="s">
        <v>240</v>
      </c>
      <c r="T55" s="156" t="s">
        <v>241</v>
      </c>
      <c r="U55" s="156" t="s">
        <v>242</v>
      </c>
      <c r="V55" s="156" t="s">
        <v>243</v>
      </c>
    </row>
    <row r="56" spans="1:23" s="45" customFormat="1" hidden="1" x14ac:dyDescent="0.2">
      <c r="A56" s="46"/>
      <c r="D56" s="51" t="s">
        <v>164</v>
      </c>
      <c r="E56" s="51">
        <f>-Q53</f>
        <v>0</v>
      </c>
      <c r="G56" s="1" t="s">
        <v>421</v>
      </c>
      <c r="H56" s="19">
        <f>H55*H53-I55*I53-J55*J53-K55*K53</f>
        <v>1</v>
      </c>
      <c r="I56" s="19">
        <f>H55*I53+I55*H53+J55*K53-K55*J53</f>
        <v>0</v>
      </c>
      <c r="J56" s="19">
        <f>H55*J53-I55*K53+J55*H53+K55*I53</f>
        <v>0</v>
      </c>
      <c r="K56" s="19">
        <f>H55*K53+I55*J53-J55*I53+K55*H53</f>
        <v>0</v>
      </c>
      <c r="L56" s="20" t="s">
        <v>35</v>
      </c>
      <c r="M56" s="1">
        <f>SIN(-0.5*E56*PI()/180)</f>
        <v>0</v>
      </c>
      <c r="N56" s="1">
        <f>SIN(0.5*E55*PI()/180)</f>
        <v>0</v>
      </c>
      <c r="O56" s="1">
        <f>SIN(0.5*E54*PI()/180)</f>
        <v>0</v>
      </c>
      <c r="P56" s="156"/>
      <c r="Q56" s="156">
        <f>2*H50*J50-2*I50*K50</f>
        <v>0</v>
      </c>
      <c r="R56" s="156">
        <f>2*H50*K50+2*I50*J50</f>
        <v>0</v>
      </c>
      <c r="S56" s="156">
        <f>-H50*H50-I50*I50+J50*J50+K50*K50</f>
        <v>1</v>
      </c>
      <c r="T56" s="156">
        <f>2*H50*I50+2*J50*K50</f>
        <v>0</v>
      </c>
      <c r="U56" s="156">
        <f>-H50*H50+I50*I50-J50*J50+K50*K50</f>
        <v>1</v>
      </c>
      <c r="V56" s="156">
        <f>-2*H50*K50+2*I50*J50</f>
        <v>0</v>
      </c>
    </row>
    <row r="57" spans="1:23" s="45" customFormat="1" hidden="1" x14ac:dyDescent="0.2">
      <c r="A57" s="46"/>
      <c r="E57" s="51"/>
      <c r="G57" s="1" t="s">
        <v>848</v>
      </c>
      <c r="H57" s="1">
        <f>J56</f>
        <v>0</v>
      </c>
      <c r="I57" s="1">
        <f>I56</f>
        <v>0</v>
      </c>
      <c r="J57" s="1">
        <f>K56</f>
        <v>0</v>
      </c>
      <c r="K57" s="1">
        <f>H56</f>
        <v>1</v>
      </c>
      <c r="L57" s="20"/>
      <c r="M57" s="1"/>
      <c r="N57" s="1"/>
      <c r="O57" s="1"/>
      <c r="P57" s="155"/>
      <c r="Q57" s="155" t="s">
        <v>512</v>
      </c>
      <c r="R57" s="155" t="e">
        <f>S56/Q56</f>
        <v>#DIV/0!</v>
      </c>
      <c r="S57" s="155"/>
      <c r="T57" s="154"/>
      <c r="U57" s="154"/>
      <c r="V57" s="154"/>
    </row>
    <row r="58" spans="1:23" s="45" customFormat="1" hidden="1" x14ac:dyDescent="0.2">
      <c r="A58" s="46"/>
      <c r="E58" s="51"/>
      <c r="G58" s="1"/>
      <c r="H58" s="19" t="s">
        <v>36</v>
      </c>
      <c r="I58" s="19" t="s">
        <v>37</v>
      </c>
      <c r="J58" s="19" t="s">
        <v>38</v>
      </c>
      <c r="K58" s="19" t="s">
        <v>882</v>
      </c>
      <c r="L58" s="21" t="s">
        <v>881</v>
      </c>
      <c r="M58" s="53" t="s">
        <v>523</v>
      </c>
      <c r="N58" s="19"/>
      <c r="O58" s="19"/>
      <c r="P58" s="155"/>
      <c r="Q58" s="159" t="s">
        <v>1135</v>
      </c>
      <c r="R58" s="159">
        <f>IF(ABS(Q56)&gt;0.00001,IF(Q56&gt;0,90-180/PI()*ATAN(S56/Q56),-90-180/PI()*ATAN(S56/Q56)),-90+SIGN(S56)*90)</f>
        <v>0</v>
      </c>
      <c r="S58" s="155"/>
      <c r="T58" s="154"/>
      <c r="U58" s="154"/>
      <c r="V58" s="154"/>
    </row>
    <row r="59" spans="1:23" s="45" customFormat="1" hidden="1" x14ac:dyDescent="0.2">
      <c r="A59" s="46"/>
      <c r="E59" s="51"/>
      <c r="G59" s="1" t="s">
        <v>39</v>
      </c>
      <c r="H59" s="19">
        <f>-2*H56*I56+2*J56*K56</f>
        <v>0</v>
      </c>
      <c r="I59" s="19">
        <f>2*H56*J56+2*I56*K56</f>
        <v>0</v>
      </c>
      <c r="J59" s="19">
        <f>H56*H56-I56*I56-J56*J56+K56*K56</f>
        <v>1</v>
      </c>
      <c r="K59" s="19">
        <f>IF(ABS(I59)&lt;0.99999,ATAN(I59/SQRT(H59*H59+J59*J59)),SIGN(I59)*1000)</f>
        <v>0</v>
      </c>
      <c r="L59" s="21">
        <f>IF(ABS(I59)&lt;0.99999,180/PI()*ATAN(I59/SQRT(H59*H59+J59*J59)),SIGN(I59)*90)</f>
        <v>0</v>
      </c>
      <c r="M59" s="20">
        <f>IF(ABS(H59)&gt;0.00001,IF(H59&gt;0,90-180/PI()*ATAN(J59/H59),-90-180/PI()*ATAN(J59/H59)),-90+SIGN(J59)*90)</f>
        <v>0</v>
      </c>
      <c r="N59" s="19"/>
      <c r="O59" s="19"/>
      <c r="P59" s="155"/>
      <c r="Q59" s="155"/>
      <c r="R59" s="155"/>
      <c r="S59" s="155"/>
      <c r="T59" s="154"/>
      <c r="U59" s="154"/>
      <c r="V59" s="154"/>
    </row>
    <row r="60" spans="1:23" s="45" customFormat="1" hidden="1" x14ac:dyDescent="0.2">
      <c r="A60" s="46"/>
      <c r="E60" s="51"/>
      <c r="P60" s="155"/>
      <c r="Q60" s="155" t="s">
        <v>510</v>
      </c>
      <c r="R60" s="155">
        <f>R56/SQRT(Q56*Q56+S56*S56)</f>
        <v>0</v>
      </c>
      <c r="S60" s="160"/>
      <c r="T60" s="101" t="s">
        <v>163</v>
      </c>
      <c r="U60" s="101" t="s">
        <v>526</v>
      </c>
      <c r="V60" s="101" t="s">
        <v>527</v>
      </c>
    </row>
    <row r="61" spans="1:23" s="45" customFormat="1" hidden="1" x14ac:dyDescent="0.2">
      <c r="A61" s="46"/>
      <c r="D61" s="51" t="s">
        <v>524</v>
      </c>
      <c r="E61" s="51">
        <v>0</v>
      </c>
      <c r="G61" s="1"/>
      <c r="H61" s="1" t="s">
        <v>860</v>
      </c>
      <c r="I61" s="1" t="s">
        <v>861</v>
      </c>
      <c r="J61" s="1" t="s">
        <v>862</v>
      </c>
      <c r="K61" s="1" t="s">
        <v>863</v>
      </c>
      <c r="L61" s="1"/>
      <c r="M61" s="1" t="s">
        <v>163</v>
      </c>
      <c r="N61" s="1" t="s">
        <v>526</v>
      </c>
      <c r="O61" s="1" t="s">
        <v>527</v>
      </c>
      <c r="P61" s="155"/>
      <c r="Q61" s="159" t="s">
        <v>1134</v>
      </c>
      <c r="R61" s="159">
        <f>IF(ABS(R56)&lt;0.99999,ATAN(R56/SQRT(Q56*Q56+S56*S56))*180/PI(),SIGN(R56)*1000)</f>
        <v>0</v>
      </c>
      <c r="S61" s="160" t="s">
        <v>34</v>
      </c>
      <c r="T61" s="160">
        <f>COS(0.5*R58*PI()/180)</f>
        <v>1</v>
      </c>
      <c r="U61" s="160">
        <f>COS(0.5*R61*PI()/180)</f>
        <v>1</v>
      </c>
      <c r="V61" s="160">
        <f>COS(0.5*R66*PI()/180)</f>
        <v>1</v>
      </c>
    </row>
    <row r="62" spans="1:23" s="45" customFormat="1" hidden="1" x14ac:dyDescent="0.2">
      <c r="A62" s="46"/>
      <c r="D62" s="51" t="s">
        <v>525</v>
      </c>
      <c r="E62" s="51">
        <f>-P53</f>
        <v>0</v>
      </c>
      <c r="G62" s="1" t="s">
        <v>864</v>
      </c>
      <c r="H62" s="19">
        <f>M62*N62*O62+M63*N63*O63</f>
        <v>1</v>
      </c>
      <c r="I62" s="19">
        <f>M63*N62*O62-M62*N63*O63</f>
        <v>0</v>
      </c>
      <c r="J62" s="19">
        <f>M62*N63*O62+M63*N62*O63</f>
        <v>0</v>
      </c>
      <c r="K62" s="19">
        <f>M62*N62*O63-M63*N63*O62</f>
        <v>0</v>
      </c>
      <c r="L62" s="20" t="s">
        <v>34</v>
      </c>
      <c r="M62" s="1">
        <f>COS(-0.5*E63*PI()/180)</f>
        <v>1</v>
      </c>
      <c r="N62" s="1">
        <f>COS(0.5*E62*PI()/180)</f>
        <v>1</v>
      </c>
      <c r="O62" s="1">
        <f>COS(0.5*E61*PI()/180)</f>
        <v>1</v>
      </c>
      <c r="P62" s="155"/>
      <c r="Q62" s="155"/>
      <c r="R62" s="155"/>
      <c r="S62" s="160" t="s">
        <v>35</v>
      </c>
      <c r="T62" s="160">
        <f>SIN(0.5*R58*PI()/180)</f>
        <v>0</v>
      </c>
      <c r="U62" s="160">
        <f>SIN(0.5*R61*PI()/180)</f>
        <v>0</v>
      </c>
      <c r="V62" s="160">
        <f>SIN(0.5*R66*PI()/180)</f>
        <v>0</v>
      </c>
    </row>
    <row r="63" spans="1:23" s="45" customFormat="1" hidden="1" x14ac:dyDescent="0.2">
      <c r="A63" s="46"/>
      <c r="D63" s="51" t="s">
        <v>164</v>
      </c>
      <c r="E63" s="51">
        <v>0</v>
      </c>
      <c r="G63" s="1" t="s">
        <v>351</v>
      </c>
      <c r="H63" s="19">
        <f>H62*H56-I62*I56-J62*J56-K62*K56</f>
        <v>1</v>
      </c>
      <c r="I63" s="19">
        <f>H62*I56+I62*H56+J62*K56-K62*J56</f>
        <v>0</v>
      </c>
      <c r="J63" s="19">
        <f>H62*J56-I62*K56+J62*H56+K62*I56</f>
        <v>0</v>
      </c>
      <c r="K63" s="19">
        <f>H62*K56+I62*J56-J62*I56+K62*H56</f>
        <v>0</v>
      </c>
      <c r="L63" s="20" t="s">
        <v>35</v>
      </c>
      <c r="M63" s="1">
        <f>SIN(-0.5*E63*PI()/180)</f>
        <v>0</v>
      </c>
      <c r="N63" s="1">
        <f>SIN(0.5*E62*PI()/180)</f>
        <v>0</v>
      </c>
      <c r="O63" s="1">
        <f>SIN(0.5*E61*PI()/180)</f>
        <v>0</v>
      </c>
      <c r="P63" s="157" t="s">
        <v>514</v>
      </c>
      <c r="Q63" s="156" t="s">
        <v>244</v>
      </c>
      <c r="R63" s="156" t="s">
        <v>245</v>
      </c>
      <c r="S63" s="156" t="s">
        <v>246</v>
      </c>
      <c r="T63" s="154"/>
      <c r="U63" s="154"/>
      <c r="V63" s="154"/>
    </row>
    <row r="64" spans="1:23" s="45" customFormat="1" hidden="1" x14ac:dyDescent="0.2">
      <c r="A64" s="46"/>
      <c r="G64" s="1" t="s">
        <v>848</v>
      </c>
      <c r="H64" s="1">
        <f>J63</f>
        <v>0</v>
      </c>
      <c r="I64" s="1">
        <f>I63</f>
        <v>0</v>
      </c>
      <c r="J64" s="1">
        <f>K63</f>
        <v>0</v>
      </c>
      <c r="K64" s="1">
        <f>H63</f>
        <v>1</v>
      </c>
      <c r="L64" s="53" t="s">
        <v>529</v>
      </c>
      <c r="M64" s="1"/>
      <c r="N64" s="1"/>
      <c r="O64" s="1">
        <f>SIGN(I63+J63+K63+0.000001)</f>
        <v>1</v>
      </c>
      <c r="P64" s="158"/>
      <c r="Q64" s="156">
        <f>H50*H50-I50*I50-J50*J50+K50*K50</f>
        <v>1</v>
      </c>
      <c r="R64" s="156">
        <f>2*H50*I50-2*J50*K50</f>
        <v>0</v>
      </c>
      <c r="S64" s="156">
        <f>2*H50*J50+2*I50*K50</f>
        <v>0</v>
      </c>
      <c r="T64" s="154"/>
      <c r="U64" s="154"/>
      <c r="V64" s="154"/>
    </row>
    <row r="65" spans="1:24" s="45" customFormat="1" hidden="1" x14ac:dyDescent="0.2">
      <c r="A65" s="46"/>
      <c r="G65" s="1"/>
      <c r="H65" s="19" t="s">
        <v>36</v>
      </c>
      <c r="I65" s="19" t="s">
        <v>37</v>
      </c>
      <c r="J65" s="19" t="s">
        <v>38</v>
      </c>
      <c r="K65" s="19" t="s">
        <v>882</v>
      </c>
      <c r="L65" s="19" t="s">
        <v>881</v>
      </c>
      <c r="M65" s="19" t="s">
        <v>523</v>
      </c>
      <c r="N65" s="21" t="s">
        <v>528</v>
      </c>
      <c r="O65" s="19"/>
      <c r="P65" s="154"/>
      <c r="Q65" s="155" t="s">
        <v>511</v>
      </c>
      <c r="R65" s="155">
        <f>(S56*Q64-Q56*S64)/(SQRT(Q56*Q56+S56*S56)*SQRT(Q64*Q64+R64*R64+S64*S64))</f>
        <v>1</v>
      </c>
      <c r="S65" s="160" t="s">
        <v>207</v>
      </c>
      <c r="T65" s="160" t="s">
        <v>598</v>
      </c>
      <c r="U65" s="160" t="s">
        <v>599</v>
      </c>
      <c r="V65" s="160" t="s">
        <v>600</v>
      </c>
    </row>
    <row r="66" spans="1:24" s="45" customFormat="1" hidden="1" x14ac:dyDescent="0.2">
      <c r="A66" s="46"/>
      <c r="G66" s="1" t="s">
        <v>39</v>
      </c>
      <c r="H66" s="19">
        <f>-2*H63*I63+2*J63*K63</f>
        <v>0</v>
      </c>
      <c r="I66" s="19">
        <f>2*H63*J63+2*I63*K63</f>
        <v>0</v>
      </c>
      <c r="J66" s="19">
        <f>H63*H63-I63*I63-J63*J63+K63*K63</f>
        <v>1</v>
      </c>
      <c r="K66" s="19">
        <f>IF(ABS(I66)&lt;0.99999,ATAN(I66/SQRT(H66*H66+J66*J66)),SIGN(I66)*1000)</f>
        <v>0</v>
      </c>
      <c r="L66" s="19">
        <f>IF(ABS(I66)&lt;0.99999,180/PI()*ATAN(I66/SQRT(H66*H66+J66*J66)),SIGN(I66)*90)</f>
        <v>0</v>
      </c>
      <c r="M66" s="19">
        <f>IF(ABS(H66)&gt;0.00001,IF(H66&gt;0,90-180/PI()*ATAN(J66/H66),-90-180/PI()*ATAN(J66/H66)),-90+SIGN(J66)*90)</f>
        <v>0</v>
      </c>
      <c r="N66" s="21">
        <f>IF(ABS(H63)&lt;0.9999999,O64*2*180/PI()*ACOS(H63),IF(H63&gt;0,0,180))</f>
        <v>0</v>
      </c>
      <c r="O66" s="19"/>
      <c r="P66" s="154"/>
      <c r="Q66" s="159" t="s">
        <v>363</v>
      </c>
      <c r="R66" s="159">
        <f>IF(R64&lt;=0,ACOS(R65)*180/PI(),(360-ACOS(R65)*180/PI()))</f>
        <v>0</v>
      </c>
      <c r="S66" s="161">
        <f>T61*U62*V61+T62*U61*V62</f>
        <v>0</v>
      </c>
      <c r="T66" s="102">
        <f>-T62*U61*V61+T61*U62*V62</f>
        <v>0</v>
      </c>
      <c r="U66" s="161">
        <f>T61*U61*V62-T62*U62*V61</f>
        <v>0</v>
      </c>
      <c r="V66" s="161">
        <f>T61*U61*V61+T62*U62*V62</f>
        <v>1</v>
      </c>
    </row>
    <row r="67" spans="1:24" s="45" customFormat="1" x14ac:dyDescent="0.2">
      <c r="A67" s="46"/>
      <c r="F67" s="61"/>
      <c r="G67" s="1"/>
      <c r="H67" s="19"/>
      <c r="I67" s="19"/>
      <c r="J67" s="19"/>
      <c r="K67" s="19"/>
      <c r="L67" s="19"/>
      <c r="M67" s="19"/>
      <c r="N67" s="21"/>
      <c r="O67" s="19"/>
      <c r="W67" s="61"/>
    </row>
    <row r="68" spans="1:24" x14ac:dyDescent="0.2">
      <c r="A68" t="s">
        <v>422</v>
      </c>
      <c r="D68" s="15"/>
      <c r="L68" s="19"/>
      <c r="M68" s="2"/>
      <c r="N68" s="2"/>
      <c r="O68" s="2"/>
      <c r="P68" s="2"/>
      <c r="Q68" s="2"/>
      <c r="R68" s="2"/>
      <c r="S68" s="2"/>
    </row>
    <row r="69" spans="1:24" x14ac:dyDescent="0.2">
      <c r="A69" s="58" t="s">
        <v>842</v>
      </c>
      <c r="B69" s="58"/>
      <c r="C69" s="58" t="s">
        <v>524</v>
      </c>
      <c r="D69" s="62">
        <f>N66</f>
        <v>0</v>
      </c>
      <c r="E69" t="s">
        <v>1076</v>
      </c>
      <c r="L69" s="19"/>
      <c r="M69" s="2"/>
      <c r="N69" s="2"/>
      <c r="O69" s="2"/>
      <c r="P69" s="2"/>
      <c r="Q69" s="2"/>
      <c r="R69" s="2"/>
      <c r="S69" s="2"/>
    </row>
    <row r="70" spans="1:24" x14ac:dyDescent="0.2">
      <c r="A70" s="58" t="s">
        <v>849</v>
      </c>
      <c r="B70" s="58"/>
      <c r="C70" s="58" t="s">
        <v>525</v>
      </c>
      <c r="D70" s="62">
        <f>P53</f>
        <v>0</v>
      </c>
      <c r="E70" t="s">
        <v>1076</v>
      </c>
      <c r="L70" s="19"/>
      <c r="M70" s="2"/>
      <c r="N70" s="2"/>
      <c r="O70" s="2"/>
      <c r="P70" s="2"/>
      <c r="Q70" s="2"/>
      <c r="R70" s="2"/>
      <c r="S70" s="2"/>
    </row>
    <row r="71" spans="1:24" x14ac:dyDescent="0.2">
      <c r="A71" s="58" t="s">
        <v>859</v>
      </c>
      <c r="B71" s="58"/>
      <c r="C71" s="58" t="s">
        <v>164</v>
      </c>
      <c r="D71" s="62">
        <f>Q53</f>
        <v>0</v>
      </c>
      <c r="E71" t="s">
        <v>1076</v>
      </c>
      <c r="L71" s="19"/>
      <c r="M71" s="2"/>
      <c r="N71" s="2"/>
      <c r="O71" s="2"/>
      <c r="P71" s="2"/>
      <c r="Q71" s="2"/>
      <c r="R71" s="2"/>
      <c r="S71" s="2"/>
    </row>
    <row r="72" spans="1:24" x14ac:dyDescent="0.2">
      <c r="D72" s="15"/>
      <c r="L72" s="19"/>
      <c r="M72" s="2"/>
      <c r="N72" s="2"/>
      <c r="O72" s="2"/>
      <c r="P72" s="2"/>
      <c r="Q72" s="2"/>
      <c r="R72" s="2"/>
      <c r="S72" s="2"/>
    </row>
    <row r="73" spans="1:24" x14ac:dyDescent="0.2">
      <c r="A73" s="82" t="s">
        <v>1142</v>
      </c>
      <c r="B73" s="82"/>
      <c r="C73" s="82"/>
      <c r="D73" s="82"/>
      <c r="E73" s="82"/>
      <c r="F73" s="82"/>
      <c r="G73" s="82"/>
      <c r="H73" s="11"/>
      <c r="L73" s="19"/>
      <c r="M73" s="2"/>
      <c r="N73" s="2"/>
      <c r="O73" s="2"/>
      <c r="P73" s="2"/>
      <c r="Q73" s="2"/>
      <c r="R73" s="2"/>
      <c r="S73" s="2"/>
      <c r="W73" s="10"/>
      <c r="X73" s="10"/>
    </row>
    <row r="74" spans="1:24" x14ac:dyDescent="0.2">
      <c r="D74" s="15"/>
      <c r="L74" s="19"/>
      <c r="M74" s="2"/>
      <c r="N74" s="2"/>
      <c r="O74" s="2"/>
      <c r="P74" s="2"/>
      <c r="Q74" s="2"/>
      <c r="R74" s="2"/>
      <c r="S74" s="2"/>
    </row>
    <row r="75" spans="1:24" x14ac:dyDescent="0.2">
      <c r="A75" s="47" t="s">
        <v>1195</v>
      </c>
      <c r="E75" s="70">
        <v>1</v>
      </c>
      <c r="G75" s="1" t="s">
        <v>552</v>
      </c>
      <c r="H75" s="1">
        <f>IF(E75=1,1,H53)</f>
        <v>1</v>
      </c>
      <c r="I75" s="1">
        <f>IF(E75=1,0,I53)</f>
        <v>0</v>
      </c>
      <c r="J75" s="1">
        <f>IF(E75=1,0,J53)</f>
        <v>0</v>
      </c>
      <c r="K75" s="1">
        <f>IF(E75=1,0,K53)</f>
        <v>0</v>
      </c>
      <c r="L75" s="19"/>
      <c r="M75" s="2"/>
      <c r="N75" s="2"/>
      <c r="O75" s="2"/>
      <c r="P75" s="2"/>
      <c r="Q75" s="2"/>
      <c r="R75" s="2"/>
      <c r="S75" s="2"/>
    </row>
    <row r="76" spans="1:24" x14ac:dyDescent="0.2">
      <c r="D76" s="15"/>
      <c r="L76" s="19"/>
      <c r="M76" s="2"/>
      <c r="N76" s="2"/>
      <c r="O76" s="2"/>
      <c r="P76" s="2"/>
      <c r="Q76" s="2"/>
      <c r="R76" s="2"/>
      <c r="S76" s="2"/>
    </row>
    <row r="77" spans="1:24" x14ac:dyDescent="0.2">
      <c r="A77" s="55" t="s">
        <v>1193</v>
      </c>
      <c r="B77" s="47" t="s">
        <v>236</v>
      </c>
      <c r="D77" s="15"/>
      <c r="L77" s="19"/>
      <c r="M77" s="2"/>
      <c r="N77" s="2"/>
      <c r="O77" s="2"/>
      <c r="P77" s="2"/>
      <c r="Q77" s="2"/>
      <c r="R77" s="2"/>
      <c r="S77" s="2"/>
    </row>
    <row r="78" spans="1:24" x14ac:dyDescent="0.2">
      <c r="A78" s="47"/>
      <c r="B78" s="41" t="s">
        <v>1165</v>
      </c>
      <c r="D78" s="15"/>
      <c r="L78" s="19"/>
      <c r="M78" s="2"/>
      <c r="N78" s="2"/>
      <c r="O78" s="2"/>
      <c r="P78" s="2"/>
      <c r="Q78" s="2"/>
      <c r="R78" s="2"/>
      <c r="S78" s="2"/>
    </row>
    <row r="79" spans="1:24" x14ac:dyDescent="0.2">
      <c r="A79" s="47"/>
      <c r="B79" s="47"/>
      <c r="D79" s="15"/>
      <c r="L79" s="19"/>
      <c r="M79" s="2"/>
      <c r="N79" s="2"/>
      <c r="O79" s="2"/>
      <c r="P79" s="2"/>
      <c r="Q79" s="2"/>
      <c r="R79" s="2"/>
      <c r="S79" s="2"/>
    </row>
    <row r="80" spans="1:24" x14ac:dyDescent="0.2">
      <c r="A80" s="55" t="s">
        <v>1194</v>
      </c>
      <c r="B80" s="47" t="s">
        <v>237</v>
      </c>
      <c r="D80" s="15"/>
      <c r="L80" s="19"/>
      <c r="M80" s="2"/>
      <c r="N80" s="2"/>
      <c r="O80" s="2"/>
      <c r="P80" s="2"/>
      <c r="Q80" s="2"/>
      <c r="R80" s="2"/>
      <c r="S80" s="2"/>
    </row>
    <row r="81" spans="1:25" x14ac:dyDescent="0.2">
      <c r="B81" t="s">
        <v>249</v>
      </c>
      <c r="D81" s="15"/>
      <c r="L81" s="19"/>
      <c r="M81" s="2"/>
      <c r="N81" s="2"/>
      <c r="O81" s="2"/>
      <c r="P81" s="2"/>
      <c r="Q81" s="2"/>
      <c r="R81" s="2"/>
      <c r="S81" s="2"/>
    </row>
    <row r="82" spans="1:25" x14ac:dyDescent="0.2">
      <c r="D82" s="15"/>
      <c r="L82" s="19"/>
      <c r="M82" s="2"/>
      <c r="N82" s="2"/>
      <c r="O82" s="2"/>
      <c r="P82" s="2"/>
      <c r="Q82" s="2"/>
      <c r="R82" s="2"/>
      <c r="S82" s="2"/>
    </row>
    <row r="83" spans="1:25" x14ac:dyDescent="0.2">
      <c r="A83" s="82" t="s">
        <v>1143</v>
      </c>
      <c r="B83" s="11"/>
      <c r="C83" s="11"/>
      <c r="D83" s="11"/>
      <c r="E83" s="11"/>
      <c r="F83" s="11"/>
      <c r="G83" s="11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</row>
    <row r="84" spans="1:25" x14ac:dyDescent="0.2">
      <c r="B84" s="13" t="s">
        <v>1144</v>
      </c>
      <c r="F84" s="59"/>
      <c r="W84" s="59"/>
    </row>
    <row r="85" spans="1:25" x14ac:dyDescent="0.2">
      <c r="A85" s="11" t="s">
        <v>842</v>
      </c>
      <c r="B85" s="11"/>
      <c r="C85" s="12" t="s">
        <v>1148</v>
      </c>
      <c r="E85" s="64">
        <v>0</v>
      </c>
      <c r="F85" t="s">
        <v>1076</v>
      </c>
      <c r="G85" s="1"/>
      <c r="H85" s="1" t="s">
        <v>250</v>
      </c>
      <c r="I85" s="1" t="s">
        <v>251</v>
      </c>
      <c r="J85" s="1" t="s">
        <v>252</v>
      </c>
      <c r="K85" s="1" t="s">
        <v>253</v>
      </c>
      <c r="L85" s="1"/>
      <c r="M85" s="1" t="s">
        <v>163</v>
      </c>
      <c r="N85" s="1" t="s">
        <v>526</v>
      </c>
      <c r="O85" s="1" t="s">
        <v>527</v>
      </c>
    </row>
    <row r="86" spans="1:25" x14ac:dyDescent="0.2">
      <c r="A86" t="s">
        <v>858</v>
      </c>
      <c r="C86" s="12" t="s">
        <v>1323</v>
      </c>
      <c r="E86" s="64">
        <v>0</v>
      </c>
      <c r="F86" s="3" t="s">
        <v>248</v>
      </c>
      <c r="G86" s="1" t="s">
        <v>942</v>
      </c>
      <c r="H86" s="19">
        <f>M86*N86*O86+M87*N87*O87</f>
        <v>8.7155742747658138E-2</v>
      </c>
      <c r="I86" s="19">
        <f>M87*N86*O86-M86*N87*O87</f>
        <v>-0.99619469809174555</v>
      </c>
      <c r="J86" s="19">
        <f>M86*N87*O86+M87*N86*O87</f>
        <v>0</v>
      </c>
      <c r="K86" s="19">
        <f>M86*N86*O87-M87*N87*O86</f>
        <v>0</v>
      </c>
      <c r="L86" s="20" t="s">
        <v>34</v>
      </c>
      <c r="M86" s="1">
        <f>COS(-0.5*E87*PI()/180)</f>
        <v>8.7155742747658138E-2</v>
      </c>
      <c r="N86" s="1">
        <f>COS(0.5*E86*PI()/180)</f>
        <v>1</v>
      </c>
      <c r="O86" s="1">
        <f>COS(0.5*E85*PI()/180)</f>
        <v>1</v>
      </c>
    </row>
    <row r="87" spans="1:25" x14ac:dyDescent="0.2">
      <c r="A87" t="s">
        <v>880</v>
      </c>
      <c r="C87" s="12" t="s">
        <v>1166</v>
      </c>
      <c r="E87" s="64">
        <v>170</v>
      </c>
      <c r="F87" t="s">
        <v>1076</v>
      </c>
      <c r="G87" s="1" t="s">
        <v>943</v>
      </c>
      <c r="H87" s="19">
        <f>H86*H75-I86*I75-J86*J75-K86*K75</f>
        <v>8.7155742747658138E-2</v>
      </c>
      <c r="I87" s="19">
        <f>H86*I75+I86*H75+J86*K75-K86*J75</f>
        <v>-0.99619469809174555</v>
      </c>
      <c r="J87" s="19">
        <f>H86*J75-I86*K75+J86*H75+K86*I75</f>
        <v>0</v>
      </c>
      <c r="K87" s="19">
        <f>H86*K75+I86*J75-J86*I75+K86*H75</f>
        <v>0</v>
      </c>
      <c r="L87" s="20" t="s">
        <v>35</v>
      </c>
      <c r="M87" s="1">
        <f>SIN(-0.5*E87*PI()/180)</f>
        <v>-0.99619469809174555</v>
      </c>
      <c r="N87" s="1">
        <f>SIN(0.5*E86*PI()/180)</f>
        <v>0</v>
      </c>
      <c r="O87" s="1">
        <f>SIN(0.5*E85*PI()/180)</f>
        <v>0</v>
      </c>
    </row>
    <row r="88" spans="1:25" x14ac:dyDescent="0.2">
      <c r="A88" s="26" t="str">
        <f>T(IF(SIGN(ABS(E85))+SIGN(ABS(E86))+SIGN(ABS(E87))&gt;1,"NEED TWO ZERO ANGLES ABOVE!!",""))</f>
        <v/>
      </c>
      <c r="C88" s="12"/>
      <c r="E88" s="15"/>
      <c r="G88" s="1" t="s">
        <v>848</v>
      </c>
      <c r="H88" s="1">
        <f>J86</f>
        <v>0</v>
      </c>
      <c r="I88" s="1">
        <f>I86</f>
        <v>-0.99619469809174555</v>
      </c>
      <c r="J88" s="1">
        <f>K86</f>
        <v>0</v>
      </c>
      <c r="K88" s="1">
        <f>H86</f>
        <v>8.7155742747658138E-2</v>
      </c>
      <c r="L88" s="20"/>
      <c r="M88" s="1"/>
      <c r="N88" s="1"/>
      <c r="O88" s="1"/>
    </row>
    <row r="89" spans="1:25" x14ac:dyDescent="0.2">
      <c r="G89" s="1"/>
      <c r="H89" s="19" t="s">
        <v>36</v>
      </c>
      <c r="I89" s="19" t="s">
        <v>37</v>
      </c>
      <c r="J89" s="19" t="s">
        <v>38</v>
      </c>
      <c r="K89" s="19" t="s">
        <v>882</v>
      </c>
      <c r="L89" s="19" t="s">
        <v>881</v>
      </c>
      <c r="M89" s="19" t="s">
        <v>523</v>
      </c>
      <c r="N89" s="19"/>
      <c r="O89" s="19"/>
    </row>
    <row r="90" spans="1:25" x14ac:dyDescent="0.2">
      <c r="G90" s="1" t="s">
        <v>39</v>
      </c>
      <c r="H90" s="19">
        <f>-2*H86*I86+2*J86*K86</f>
        <v>0.17364817766693028</v>
      </c>
      <c r="I90" s="19">
        <f>2*H86*J86+2*I86*K86</f>
        <v>0</v>
      </c>
      <c r="J90" s="19">
        <f>H86*H86-I86*I86-J86*J86+K86*K86</f>
        <v>-0.98480775301220813</v>
      </c>
      <c r="K90" s="19">
        <f>IF(ABS(I90)&lt;0.99999,ATAN(I90/SQRT(H90*H90+J90*J90)),SIGN(I90)*1000)</f>
        <v>0</v>
      </c>
      <c r="L90" s="19">
        <f>IF(ABS(I90)&lt;0.99999,180/PI()*ATAN(I90/SQRT(H90*H90+J90*J90)),SIGN(I90)*90)</f>
        <v>0</v>
      </c>
      <c r="M90" s="19">
        <f>IF(ABS(H90)&gt;0.00001,IF(H90&gt;0,90-180/PI()*ATAN(J90/H90),-90-180/PI()*ATAN(J90/H90)),-90+SIGN(J90)*90)</f>
        <v>170</v>
      </c>
      <c r="N90" s="19"/>
      <c r="O90" s="19"/>
    </row>
    <row r="91" spans="1:25" x14ac:dyDescent="0.2">
      <c r="G91" s="1"/>
      <c r="H91" s="1"/>
      <c r="I91" s="1"/>
      <c r="J91" s="1"/>
      <c r="K91" s="1"/>
      <c r="L91" s="1"/>
      <c r="M91" s="1"/>
      <c r="N91" s="1"/>
      <c r="O91" s="1"/>
    </row>
    <row r="92" spans="1:25" x14ac:dyDescent="0.2">
      <c r="A92" s="11" t="s">
        <v>849</v>
      </c>
      <c r="B92" s="10"/>
      <c r="C92" s="12" t="s">
        <v>1148</v>
      </c>
      <c r="D92" s="12"/>
      <c r="E92" s="64">
        <v>0</v>
      </c>
      <c r="F92" t="s">
        <v>1076</v>
      </c>
      <c r="G92" s="1"/>
      <c r="H92" s="1" t="s">
        <v>850</v>
      </c>
      <c r="I92" s="1" t="s">
        <v>851</v>
      </c>
      <c r="J92" s="1" t="s">
        <v>852</v>
      </c>
      <c r="K92" s="1" t="s">
        <v>853</v>
      </c>
      <c r="L92" s="1"/>
      <c r="M92" s="1" t="s">
        <v>163</v>
      </c>
      <c r="N92" s="1" t="s">
        <v>526</v>
      </c>
      <c r="O92" s="1" t="s">
        <v>527</v>
      </c>
    </row>
    <row r="93" spans="1:25" x14ac:dyDescent="0.2">
      <c r="A93" t="s">
        <v>858</v>
      </c>
      <c r="C93" s="12" t="s">
        <v>1323</v>
      </c>
      <c r="D93" s="12"/>
      <c r="E93" s="64">
        <v>0</v>
      </c>
      <c r="F93" s="3" t="s">
        <v>248</v>
      </c>
      <c r="G93" s="1" t="s">
        <v>855</v>
      </c>
      <c r="H93" s="19">
        <f>M93*N93*O93+M94*N94*O94</f>
        <v>1</v>
      </c>
      <c r="I93" s="19">
        <f>M94*N93*O93-M93*N94*O94</f>
        <v>0</v>
      </c>
      <c r="J93" s="19">
        <f>M93*N94*O93+M94*N93*O94</f>
        <v>0</v>
      </c>
      <c r="K93" s="19">
        <f>M93*N93*O94-M94*N94*O93</f>
        <v>0</v>
      </c>
      <c r="L93" s="20" t="s">
        <v>34</v>
      </c>
      <c r="M93" s="1">
        <f>COS(-0.5*E94*PI()/180)</f>
        <v>1</v>
      </c>
      <c r="N93" s="1">
        <f>COS(0.5*E93*PI()/180)</f>
        <v>1</v>
      </c>
      <c r="O93" s="1">
        <f>COS(0.5*E92*PI()/180)</f>
        <v>1</v>
      </c>
    </row>
    <row r="94" spans="1:25" x14ac:dyDescent="0.2">
      <c r="A94" t="s">
        <v>880</v>
      </c>
      <c r="C94" s="12" t="s">
        <v>1166</v>
      </c>
      <c r="D94" s="12"/>
      <c r="E94" s="64">
        <v>0</v>
      </c>
      <c r="F94" t="s">
        <v>1076</v>
      </c>
      <c r="G94" s="1" t="s">
        <v>944</v>
      </c>
      <c r="H94" s="19">
        <f>H93*H87-I93*I87-J93*J87-K93*K87</f>
        <v>8.7155742747658138E-2</v>
      </c>
      <c r="I94" s="19">
        <f>H93*I87+I93*H87+J93*K87-K93*J87</f>
        <v>-0.99619469809174555</v>
      </c>
      <c r="J94" s="19">
        <f>H93*J87-I93*K87+J93*H87+K93*I87</f>
        <v>0</v>
      </c>
      <c r="K94" s="19">
        <f>H93*K87+I93*J87-J93*I87+K93*H87</f>
        <v>0</v>
      </c>
      <c r="L94" s="20" t="s">
        <v>35</v>
      </c>
      <c r="M94" s="1">
        <f>SIN(-0.5*E94*PI()/180)</f>
        <v>0</v>
      </c>
      <c r="N94" s="1">
        <f>SIN(0.5*E93*PI()/180)</f>
        <v>0</v>
      </c>
      <c r="O94" s="1">
        <f>SIN(0.5*E92*PI()/180)</f>
        <v>0</v>
      </c>
    </row>
    <row r="95" spans="1:25" x14ac:dyDescent="0.2">
      <c r="A95" s="26" t="str">
        <f>T(IF(SIGN(ABS(E92))+SIGN(ABS(E93))+SIGN(ABS(E94))&gt;1,"NEED TWO ZERO ANGLES ABOVE!!",""))</f>
        <v/>
      </c>
      <c r="G95" s="1" t="s">
        <v>848</v>
      </c>
      <c r="H95" s="1">
        <f>J94</f>
        <v>0</v>
      </c>
      <c r="I95" s="1">
        <f>I94</f>
        <v>-0.99619469809174555</v>
      </c>
      <c r="J95" s="1">
        <f>K94</f>
        <v>0</v>
      </c>
      <c r="K95" s="1">
        <f>H94</f>
        <v>8.7155742747658138E-2</v>
      </c>
      <c r="L95" s="20"/>
      <c r="M95" s="1"/>
      <c r="N95" s="1"/>
      <c r="O95" s="1"/>
    </row>
    <row r="96" spans="1:25" x14ac:dyDescent="0.2">
      <c r="G96" s="1"/>
      <c r="H96" s="19" t="s">
        <v>36</v>
      </c>
      <c r="I96" s="19" t="s">
        <v>37</v>
      </c>
      <c r="J96" s="19" t="s">
        <v>38</v>
      </c>
      <c r="K96" s="19" t="s">
        <v>882</v>
      </c>
      <c r="L96" s="19" t="s">
        <v>881</v>
      </c>
      <c r="M96" s="19" t="s">
        <v>523</v>
      </c>
      <c r="N96" s="19"/>
      <c r="O96" s="19"/>
    </row>
    <row r="97" spans="1:24" x14ac:dyDescent="0.2">
      <c r="G97" s="1" t="s">
        <v>39</v>
      </c>
      <c r="H97" s="19">
        <f>-2*H94*I94+2*J94*K94</f>
        <v>0.17364817766693028</v>
      </c>
      <c r="I97" s="19">
        <f>2*H94*J94+2*I94*K94</f>
        <v>0</v>
      </c>
      <c r="J97" s="19">
        <f>H94*H94-I94*I94-J94*J94+K94*K94</f>
        <v>-0.98480775301220813</v>
      </c>
      <c r="K97" s="19">
        <f>IF(ABS(I97)&lt;0.99999,ATAN(I97/SQRT(H97*H97+J97*J97)),SIGN(I97)*1000)</f>
        <v>0</v>
      </c>
      <c r="L97" s="19">
        <f>IF(ABS(I97)&lt;0.99999,180/PI()*ATAN(I97/SQRT(H97*H97+J97*J97)),SIGN(I97)*90)</f>
        <v>0</v>
      </c>
      <c r="M97" s="19">
        <f>IF(ABS(H97)&gt;0.00001,IF(H97&gt;0,90-180/PI()*ATAN(J97/H97),-90-180/PI()*ATAN(J97/H97)),-90+SIGN(J97)*90)</f>
        <v>170</v>
      </c>
      <c r="N97" s="19"/>
      <c r="O97" s="19"/>
    </row>
    <row r="98" spans="1:24" x14ac:dyDescent="0.2">
      <c r="G98" s="1"/>
      <c r="H98" s="1"/>
      <c r="I98" s="1"/>
      <c r="J98" s="1"/>
      <c r="K98" s="1"/>
      <c r="L98" s="1"/>
      <c r="M98" s="1"/>
      <c r="N98" s="1"/>
      <c r="O98" s="1"/>
    </row>
    <row r="99" spans="1:24" x14ac:dyDescent="0.2">
      <c r="A99" s="11" t="s">
        <v>859</v>
      </c>
      <c r="B99" s="10"/>
      <c r="C99" s="12" t="s">
        <v>1148</v>
      </c>
      <c r="D99" s="12"/>
      <c r="E99" s="64">
        <v>0</v>
      </c>
      <c r="F99" t="s">
        <v>1076</v>
      </c>
      <c r="G99" s="1"/>
      <c r="H99" s="1" t="s">
        <v>860</v>
      </c>
      <c r="I99" s="1" t="s">
        <v>861</v>
      </c>
      <c r="J99" s="1" t="s">
        <v>862</v>
      </c>
      <c r="K99" s="1" t="s">
        <v>863</v>
      </c>
      <c r="L99" s="1"/>
      <c r="M99" s="1" t="s">
        <v>163</v>
      </c>
      <c r="N99" s="1" t="s">
        <v>526</v>
      </c>
      <c r="O99" s="1" t="s">
        <v>527</v>
      </c>
    </row>
    <row r="100" spans="1:24" x14ac:dyDescent="0.2">
      <c r="A100" t="s">
        <v>858</v>
      </c>
      <c r="C100" s="12" t="s">
        <v>1323</v>
      </c>
      <c r="D100" s="12"/>
      <c r="E100" s="64">
        <v>0</v>
      </c>
      <c r="F100" s="3" t="s">
        <v>248</v>
      </c>
      <c r="G100" s="1" t="s">
        <v>864</v>
      </c>
      <c r="H100" s="19">
        <f>M100*N100*O100+M101*N101*O101</f>
        <v>1</v>
      </c>
      <c r="I100" s="19">
        <f>M101*N100*O100-M100*N101*O101</f>
        <v>0</v>
      </c>
      <c r="J100" s="19">
        <f>M100*N101*O100+M101*N100*O101</f>
        <v>0</v>
      </c>
      <c r="K100" s="19">
        <f>M100*N100*O101-M101*N101*O100</f>
        <v>0</v>
      </c>
      <c r="L100" s="20" t="s">
        <v>34</v>
      </c>
      <c r="M100" s="1">
        <f>COS(-0.5*E101*PI()/180)</f>
        <v>1</v>
      </c>
      <c r="N100" s="1">
        <f>COS(0.5*E100*PI()/180)</f>
        <v>1</v>
      </c>
      <c r="O100" s="1">
        <f>COS(0.5*E99*PI()/180)</f>
        <v>1</v>
      </c>
    </row>
    <row r="101" spans="1:24" x14ac:dyDescent="0.2">
      <c r="A101" t="s">
        <v>880</v>
      </c>
      <c r="C101" s="12" t="s">
        <v>1166</v>
      </c>
      <c r="D101" s="12"/>
      <c r="E101" s="64">
        <v>0</v>
      </c>
      <c r="F101" t="s">
        <v>1076</v>
      </c>
      <c r="G101" s="1" t="s">
        <v>865</v>
      </c>
      <c r="H101" s="19">
        <f>H100*H94-I100*I94-J100*J94-K100*K94</f>
        <v>8.7155742747658138E-2</v>
      </c>
      <c r="I101" s="19">
        <f>H100*I94+I100*H94+J100*K94-K100*J94</f>
        <v>-0.99619469809174555</v>
      </c>
      <c r="J101" s="19">
        <f>H100*J94-I100*K94+J100*H94+K100*I94</f>
        <v>0</v>
      </c>
      <c r="K101" s="19">
        <f>H100*K94+I100*J94-J100*I94+K100*H94</f>
        <v>0</v>
      </c>
      <c r="L101" s="20" t="s">
        <v>35</v>
      </c>
      <c r="M101" s="1">
        <f>SIN(-0.5*E101*PI()/180)</f>
        <v>0</v>
      </c>
      <c r="N101" s="1">
        <f>SIN(0.5*E100*PI()/180)</f>
        <v>0</v>
      </c>
      <c r="O101" s="1">
        <f>SIN(0.5*E99*PI()/180)</f>
        <v>0</v>
      </c>
    </row>
    <row r="102" spans="1:24" x14ac:dyDescent="0.2">
      <c r="A102" s="26" t="str">
        <f>T(IF(SIGN(ABS(E99))+SIGN(ABS(E100))+SIGN(ABS(E101))&gt;1,"NEED TWO ZERO ANGLES ABOVE!!",""))</f>
        <v/>
      </c>
      <c r="G102" s="1" t="s">
        <v>848</v>
      </c>
      <c r="H102" s="1">
        <f>J101</f>
        <v>0</v>
      </c>
      <c r="I102" s="1">
        <f>I101</f>
        <v>-0.99619469809174555</v>
      </c>
      <c r="J102" s="1">
        <f>K101</f>
        <v>0</v>
      </c>
      <c r="K102" s="1">
        <f>H101</f>
        <v>8.7155742747658138E-2</v>
      </c>
      <c r="L102" s="20"/>
      <c r="M102" s="1"/>
      <c r="N102" s="1"/>
      <c r="O102" s="1"/>
    </row>
    <row r="103" spans="1:24" x14ac:dyDescent="0.2">
      <c r="G103" s="1"/>
      <c r="H103" s="19" t="s">
        <v>36</v>
      </c>
      <c r="I103" s="19" t="s">
        <v>37</v>
      </c>
      <c r="J103" s="19" t="s">
        <v>38</v>
      </c>
      <c r="K103" s="19" t="s">
        <v>882</v>
      </c>
      <c r="L103" s="19" t="s">
        <v>881</v>
      </c>
      <c r="M103" s="21" t="s">
        <v>523</v>
      </c>
      <c r="N103" s="19"/>
      <c r="O103" s="19"/>
    </row>
    <row r="104" spans="1:24" x14ac:dyDescent="0.2">
      <c r="G104" s="1" t="s">
        <v>39</v>
      </c>
      <c r="H104" s="19">
        <f>-2*H101*I101+2*J101*K101</f>
        <v>0.17364817766693028</v>
      </c>
      <c r="I104" s="19">
        <f>2*H101*J101+2*I101*K101</f>
        <v>0</v>
      </c>
      <c r="J104" s="19">
        <f>H101*H101-I101*I101-J101*J101+K101*K101</f>
        <v>-0.98480775301220813</v>
      </c>
      <c r="K104" s="19">
        <f>IF(ABS(I104)&lt;0.99999,ATAN(I104/SQRT(H104*H104+J104*J104)),SIGN(I104)*1000)</f>
        <v>0</v>
      </c>
      <c r="L104" s="19">
        <f>IF(ABS(I104)&lt;0.99999,180/PI()*ATAN(I104/SQRT(H104*H104+J104*J104)),SIGN(I104)*90)</f>
        <v>0</v>
      </c>
      <c r="M104" s="21">
        <f>IF(ABS(H104)&gt;0.00001,IF(H104&gt;0,90-180/PI()*ATAN(J104/H104),-90-180/PI()*ATAN(J104/H104)),-90+SIGN(J104)*90)</f>
        <v>170</v>
      </c>
      <c r="N104" s="19"/>
      <c r="O104" s="19"/>
    </row>
    <row r="105" spans="1:24" x14ac:dyDescent="0.2">
      <c r="A105" s="56" t="s">
        <v>877</v>
      </c>
      <c r="B105" s="13" t="s">
        <v>878</v>
      </c>
      <c r="C105" s="65" t="str">
        <f>CONCATENATE(TEXT(H102,"0.000000")," ",TEXT(I102,"0.000000")," ",TEXT(J102,"0.000000")," ",TEXT(K102,"0.000000"))</f>
        <v>0.000000 -0.996195 0.000000 0.087156</v>
      </c>
      <c r="D105" s="2"/>
      <c r="E105" s="2"/>
      <c r="F105" s="59"/>
      <c r="G105" s="16"/>
      <c r="H105" s="15"/>
      <c r="I105" s="2"/>
      <c r="J105" s="2"/>
      <c r="K105" s="2"/>
      <c r="O105" s="1"/>
      <c r="P105" s="1"/>
      <c r="Q105" s="1"/>
      <c r="W105" s="59"/>
    </row>
    <row r="106" spans="1:24" x14ac:dyDescent="0.2">
      <c r="O106" s="1"/>
      <c r="P106" s="1"/>
      <c r="Q106" s="1"/>
      <c r="R106" s="34"/>
      <c r="S106" s="1"/>
      <c r="T106" s="34"/>
      <c r="U106" s="34"/>
      <c r="V106" s="1"/>
    </row>
    <row r="107" spans="1:24" x14ac:dyDescent="0.2">
      <c r="A107" s="25" t="s">
        <v>1145</v>
      </c>
      <c r="O107" s="1"/>
      <c r="P107" s="1"/>
      <c r="Q107" s="1"/>
      <c r="R107" s="34"/>
      <c r="S107" s="1"/>
      <c r="T107" s="34"/>
      <c r="U107" s="34"/>
      <c r="V107" s="1"/>
    </row>
    <row r="108" spans="1:24" x14ac:dyDescent="0.2">
      <c r="O108" s="1"/>
      <c r="P108" s="1"/>
      <c r="Q108" s="1"/>
      <c r="R108" s="34"/>
      <c r="S108" s="1"/>
      <c r="T108" s="34"/>
      <c r="U108" s="34"/>
      <c r="V108" s="1"/>
    </row>
    <row r="109" spans="1:24" x14ac:dyDescent="0.2">
      <c r="A109" s="82" t="s">
        <v>1301</v>
      </c>
      <c r="B109" s="10"/>
      <c r="C109" s="10"/>
      <c r="D109" s="10"/>
      <c r="J109" s="1" t="s">
        <v>254</v>
      </c>
      <c r="K109" s="1">
        <f>H101</f>
        <v>8.7155742747658138E-2</v>
      </c>
      <c r="L109" s="1">
        <f>I101</f>
        <v>-0.99619469809174555</v>
      </c>
      <c r="M109" s="1">
        <f>J101</f>
        <v>0</v>
      </c>
      <c r="N109" s="1">
        <f>K101</f>
        <v>0</v>
      </c>
      <c r="O109" s="1">
        <f>IF(ABS(S109)&gt;0.000001,(IF(S109&gt;0,180/PI()*ATAN(R109/S109),IF(R109&lt;=0,180/PI()*ATAN(R109/S109)+180,180/PI()*ATAN(R109/S109)-180))),IF(R109*S109&gt;=0,90,-90))</f>
        <v>190</v>
      </c>
      <c r="P109" s="1">
        <f>IF(ABS(T109)&lt;0.99999,180/PI()*ASIN(T109),IF(T109&gt;0,90,-90))</f>
        <v>0</v>
      </c>
      <c r="Q109" s="1">
        <f>IF(ABS(V109)&gt;0.000001,(IF(V109&gt;0,180/PI()*ATAN(U109/V109),IF(U109&lt;=0,180/PI()*ATAN(U109/V109)+180,180/PI()*ATAN(U109/V109)-180))),IF(U109*V109&gt;=0,90,-90))</f>
        <v>0</v>
      </c>
      <c r="R109" s="1">
        <f>2*(M109*N109+K109*L109)</f>
        <v>-0.17364817766693028</v>
      </c>
      <c r="S109" s="1">
        <f>K109^2-L109^2-M109^2+N109^2</f>
        <v>-0.98480775301220813</v>
      </c>
      <c r="T109" s="1">
        <f>-2*(L109*N109-K109*M109)</f>
        <v>0</v>
      </c>
      <c r="U109" s="1">
        <f>2*(L109*M109+K109*N109)</f>
        <v>0</v>
      </c>
      <c r="V109" s="1">
        <f>K109^2+L109^2-M109^2-N109^2</f>
        <v>1</v>
      </c>
    </row>
    <row r="111" spans="1:24" x14ac:dyDescent="0.2">
      <c r="A111" s="82" t="s">
        <v>621</v>
      </c>
      <c r="B111" s="10"/>
      <c r="C111" s="10"/>
      <c r="D111" s="10"/>
      <c r="E111" s="10"/>
      <c r="F111" s="10"/>
      <c r="G111" s="10"/>
      <c r="H111" s="10"/>
      <c r="W111" s="10"/>
      <c r="X111" s="10"/>
    </row>
    <row r="112" spans="1:24" s="45" customFormat="1" x14ac:dyDescent="0.2">
      <c r="A112" s="46"/>
      <c r="F112" s="61"/>
      <c r="W112" s="61"/>
    </row>
    <row r="113" spans="1:23" s="45" customFormat="1" hidden="1" x14ac:dyDescent="0.2">
      <c r="A113" s="46"/>
      <c r="D113" s="51" t="s">
        <v>524</v>
      </c>
      <c r="E113" s="51">
        <v>0</v>
      </c>
      <c r="G113" s="1"/>
      <c r="H113" s="1" t="s">
        <v>860</v>
      </c>
      <c r="I113" s="1" t="s">
        <v>861</v>
      </c>
      <c r="J113" s="1" t="s">
        <v>862</v>
      </c>
      <c r="K113" s="1" t="s">
        <v>863</v>
      </c>
      <c r="L113" s="1"/>
      <c r="M113" s="1" t="s">
        <v>163</v>
      </c>
      <c r="N113" s="1" t="s">
        <v>526</v>
      </c>
      <c r="O113" s="1" t="s">
        <v>527</v>
      </c>
    </row>
    <row r="114" spans="1:23" s="45" customFormat="1" hidden="1" x14ac:dyDescent="0.2">
      <c r="A114" s="46"/>
      <c r="D114" s="51" t="s">
        <v>525</v>
      </c>
      <c r="E114" s="51">
        <v>0</v>
      </c>
      <c r="G114" s="1" t="s">
        <v>864</v>
      </c>
      <c r="H114" s="19">
        <f>M114*N114*O114+M115*N115*O115</f>
        <v>8.7155742747658138E-2</v>
      </c>
      <c r="I114" s="19">
        <f>M115*N114*O114-M114*N115*O115</f>
        <v>0.99619469809174555</v>
      </c>
      <c r="J114" s="19">
        <f>M114*N115*O114+M115*N114*O115</f>
        <v>0</v>
      </c>
      <c r="K114" s="19">
        <f>M114*N114*O115-M115*N115*O114</f>
        <v>0</v>
      </c>
      <c r="L114" s="20" t="s">
        <v>34</v>
      </c>
      <c r="M114" s="1">
        <f>COS(-0.5*E115*PI()/180)</f>
        <v>8.7155742747658138E-2</v>
      </c>
      <c r="N114" s="1">
        <f>COS(0.5*E114*PI()/180)</f>
        <v>1</v>
      </c>
      <c r="O114" s="1">
        <f>COS(0.5*E113*PI()/180)</f>
        <v>1</v>
      </c>
    </row>
    <row r="115" spans="1:23" s="45" customFormat="1" hidden="1" x14ac:dyDescent="0.2">
      <c r="A115" s="46"/>
      <c r="D115" s="51" t="s">
        <v>164</v>
      </c>
      <c r="E115" s="51">
        <f>-M104</f>
        <v>-170</v>
      </c>
      <c r="G115" s="1" t="s">
        <v>351</v>
      </c>
      <c r="H115" s="19">
        <f>H114*H101-I114*I101-J114*J101-K114*K101</f>
        <v>1</v>
      </c>
      <c r="I115" s="19">
        <f>H114*I101+I114*H101+J114*K101-K114*J101</f>
        <v>0</v>
      </c>
      <c r="J115" s="19">
        <f>H114*J101-I114*K101+J114*H101+K114*I101</f>
        <v>0</v>
      </c>
      <c r="K115" s="19">
        <f>H114*K101+I114*J101-J114*I101+K114*H101</f>
        <v>0</v>
      </c>
      <c r="L115" s="20" t="s">
        <v>35</v>
      </c>
      <c r="M115" s="1">
        <f>SIN(-0.5*E115*PI()/180)</f>
        <v>0.99619469809174555</v>
      </c>
      <c r="N115" s="1">
        <f>SIN(0.5*E114*PI()/180)</f>
        <v>0</v>
      </c>
      <c r="O115" s="1">
        <f>SIN(0.5*E113*PI()/180)</f>
        <v>0</v>
      </c>
    </row>
    <row r="116" spans="1:23" s="45" customFormat="1" hidden="1" x14ac:dyDescent="0.2">
      <c r="A116" s="46"/>
      <c r="E116" s="51"/>
      <c r="G116" s="1" t="s">
        <v>848</v>
      </c>
      <c r="H116" s="1">
        <f>J115</f>
        <v>0</v>
      </c>
      <c r="I116" s="1">
        <f>I115</f>
        <v>0</v>
      </c>
      <c r="J116" s="1">
        <f>K115</f>
        <v>0</v>
      </c>
      <c r="K116" s="1">
        <f>H115</f>
        <v>1</v>
      </c>
      <c r="L116" s="20"/>
      <c r="M116" s="1"/>
      <c r="N116" s="1"/>
      <c r="O116" s="1"/>
    </row>
    <row r="117" spans="1:23" s="45" customFormat="1" hidden="1" x14ac:dyDescent="0.2">
      <c r="A117" s="46"/>
      <c r="E117" s="51"/>
      <c r="G117" s="1"/>
      <c r="H117" s="19" t="s">
        <v>36</v>
      </c>
      <c r="I117" s="19" t="s">
        <v>37</v>
      </c>
      <c r="J117" s="19" t="s">
        <v>38</v>
      </c>
      <c r="K117" s="19" t="s">
        <v>882</v>
      </c>
      <c r="L117" s="21" t="s">
        <v>881</v>
      </c>
      <c r="M117" s="53" t="s">
        <v>523</v>
      </c>
      <c r="N117" s="19"/>
      <c r="O117" s="19"/>
    </row>
    <row r="118" spans="1:23" s="45" customFormat="1" hidden="1" x14ac:dyDescent="0.2">
      <c r="A118" s="46"/>
      <c r="E118" s="51"/>
      <c r="G118" s="1" t="s">
        <v>39</v>
      </c>
      <c r="H118" s="19">
        <f>-2*H115*I115+2*J115*K115</f>
        <v>0</v>
      </c>
      <c r="I118" s="19">
        <f>2*H115*J115+2*I115*K115</f>
        <v>0</v>
      </c>
      <c r="J118" s="19">
        <f>H115*H115-I115*I115-J115*J115+K115*K115</f>
        <v>1</v>
      </c>
      <c r="K118" s="19">
        <f>IF(ABS(I118)&lt;0.99999,ATAN(I118/SQRT(H118*H118+J118*J118)),SIGN(I118)*1000)</f>
        <v>0</v>
      </c>
      <c r="L118" s="21">
        <f>IF(ABS(I118)&lt;0.99999,180/PI()*ATAN(I118/SQRT(H118*H118+J118*J118)),SIGN(I118)*90)</f>
        <v>0</v>
      </c>
      <c r="M118" s="20">
        <f>IF(ABS(H118)&gt;0.00001,IF(H118&gt;0,90-180/PI()*ATAN(J118/H118),-90-180/PI()*ATAN(J118/H118)),-90+SIGN(J118)*90)</f>
        <v>0</v>
      </c>
      <c r="N118" s="19"/>
      <c r="O118" s="19"/>
    </row>
    <row r="119" spans="1:23" s="45" customFormat="1" hidden="1" x14ac:dyDescent="0.2">
      <c r="A119" s="46"/>
      <c r="E119" s="51"/>
    </row>
    <row r="120" spans="1:23" s="45" customFormat="1" hidden="1" x14ac:dyDescent="0.2">
      <c r="A120" s="46"/>
      <c r="D120" s="51" t="s">
        <v>524</v>
      </c>
      <c r="E120" s="51">
        <v>0</v>
      </c>
      <c r="G120" s="1"/>
      <c r="H120" s="1" t="s">
        <v>860</v>
      </c>
      <c r="I120" s="1" t="s">
        <v>861</v>
      </c>
      <c r="J120" s="1" t="s">
        <v>862</v>
      </c>
      <c r="K120" s="1" t="s">
        <v>863</v>
      </c>
      <c r="L120" s="1"/>
      <c r="M120" s="1" t="s">
        <v>163</v>
      </c>
      <c r="N120" s="1" t="s">
        <v>526</v>
      </c>
      <c r="O120" s="1" t="s">
        <v>527</v>
      </c>
    </row>
    <row r="121" spans="1:23" s="45" customFormat="1" hidden="1" x14ac:dyDescent="0.2">
      <c r="A121" s="46"/>
      <c r="D121" s="51" t="s">
        <v>525</v>
      </c>
      <c r="E121" s="51">
        <f>-L104</f>
        <v>0</v>
      </c>
      <c r="G121" s="1" t="s">
        <v>864</v>
      </c>
      <c r="H121" s="19">
        <f>M121*N121*O121+M122*N122*O122</f>
        <v>1</v>
      </c>
      <c r="I121" s="19">
        <f>M122*N121*O121-M121*N122*O122</f>
        <v>0</v>
      </c>
      <c r="J121" s="19">
        <f>M121*N122*O121+M122*N121*O122</f>
        <v>0</v>
      </c>
      <c r="K121" s="19">
        <f>M121*N121*O122-M122*N122*O121</f>
        <v>0</v>
      </c>
      <c r="L121" s="20" t="s">
        <v>34</v>
      </c>
      <c r="M121" s="1">
        <f>COS(-0.5*E122*PI()/180)</f>
        <v>1</v>
      </c>
      <c r="N121" s="1">
        <f>COS(0.5*E121*PI()/180)</f>
        <v>1</v>
      </c>
      <c r="O121" s="1">
        <f>COS(0.5*E120*PI()/180)</f>
        <v>1</v>
      </c>
    </row>
    <row r="122" spans="1:23" s="45" customFormat="1" hidden="1" x14ac:dyDescent="0.2">
      <c r="A122" s="46"/>
      <c r="D122" s="51" t="s">
        <v>164</v>
      </c>
      <c r="E122" s="51">
        <v>0</v>
      </c>
      <c r="G122" s="1" t="s">
        <v>351</v>
      </c>
      <c r="H122" s="19">
        <f>H121*H115-I121*I115-J121*J115-K121*K115</f>
        <v>1</v>
      </c>
      <c r="I122" s="19">
        <f>H121*I115+I121*H115+J121*K115-K121*J115</f>
        <v>0</v>
      </c>
      <c r="J122" s="19">
        <f>H121*J115-I121*K115+J121*H115+K121*I115</f>
        <v>0</v>
      </c>
      <c r="K122" s="19">
        <f>H121*K115+I121*J115-J121*I115+K121*H115</f>
        <v>0</v>
      </c>
      <c r="L122" s="20" t="s">
        <v>35</v>
      </c>
      <c r="M122" s="1">
        <f>SIN(-0.5*E122*PI()/180)</f>
        <v>0</v>
      </c>
      <c r="N122" s="1">
        <f>SIN(0.5*E121*PI()/180)</f>
        <v>0</v>
      </c>
      <c r="O122" s="1">
        <f>SIN(0.5*E120*PI()/180)</f>
        <v>0</v>
      </c>
    </row>
    <row r="123" spans="1:23" s="45" customFormat="1" hidden="1" x14ac:dyDescent="0.2">
      <c r="A123" s="46"/>
      <c r="G123" s="1" t="s">
        <v>848</v>
      </c>
      <c r="H123" s="1">
        <f>J122</f>
        <v>0</v>
      </c>
      <c r="I123" s="1">
        <f>I122</f>
        <v>0</v>
      </c>
      <c r="J123" s="1">
        <f>K122</f>
        <v>0</v>
      </c>
      <c r="K123" s="1">
        <f>H122</f>
        <v>1</v>
      </c>
      <c r="L123" s="53" t="s">
        <v>529</v>
      </c>
      <c r="M123" s="1"/>
      <c r="N123" s="1"/>
      <c r="O123" s="1">
        <f>SIGN(I122+J122+K122+0.000001)</f>
        <v>1</v>
      </c>
    </row>
    <row r="124" spans="1:23" s="45" customFormat="1" hidden="1" x14ac:dyDescent="0.2">
      <c r="A124" s="46"/>
      <c r="G124" s="1"/>
      <c r="H124" s="19" t="s">
        <v>36</v>
      </c>
      <c r="I124" s="19" t="s">
        <v>37</v>
      </c>
      <c r="J124" s="19" t="s">
        <v>38</v>
      </c>
      <c r="K124" s="19" t="s">
        <v>882</v>
      </c>
      <c r="L124" s="19" t="s">
        <v>881</v>
      </c>
      <c r="M124" s="19" t="s">
        <v>523</v>
      </c>
      <c r="N124" s="21" t="s">
        <v>528</v>
      </c>
      <c r="O124" s="19"/>
    </row>
    <row r="125" spans="1:23" s="45" customFormat="1" hidden="1" x14ac:dyDescent="0.2">
      <c r="A125" s="46"/>
      <c r="G125" s="1" t="s">
        <v>39</v>
      </c>
      <c r="H125" s="19">
        <f>-2*H122*I122+2*J122*K122</f>
        <v>0</v>
      </c>
      <c r="I125" s="19">
        <f>2*H122*J122+2*I122*K122</f>
        <v>0</v>
      </c>
      <c r="J125" s="19">
        <f>H122*H122-I122*I122-J122*J122+K122*K122</f>
        <v>1</v>
      </c>
      <c r="K125" s="19">
        <f>IF(ABS(I125)&lt;0.99999,ATAN(I125/SQRT(H125*H125+J125*J125)),SIGN(I125)*1000)</f>
        <v>0</v>
      </c>
      <c r="L125" s="19">
        <f>IF(ABS(I125)&lt;0.99999,180/PI()*ATAN(I125/SQRT(H125*H125+J125*J125)),SIGN(I125)*90)</f>
        <v>0</v>
      </c>
      <c r="M125" s="19">
        <f>IF(ABS(H125)&gt;0.00001,IF(H125&gt;0,90-180/PI()*ATAN(J125/H125),-90-180/PI()*ATAN(J125/H125)),-90+SIGN(J125)*90)</f>
        <v>0</v>
      </c>
      <c r="N125" s="21">
        <f>IF(ABS(H122)&lt;0.99999,O123*2*180/PI()*ACOS(H122),IF(H122&gt;0,0,180))</f>
        <v>0</v>
      </c>
      <c r="O125" s="19"/>
    </row>
    <row r="126" spans="1:23" s="45" customFormat="1" x14ac:dyDescent="0.2">
      <c r="A126" s="13"/>
      <c r="B126"/>
      <c r="F126" s="61"/>
      <c r="W126" s="61"/>
    </row>
    <row r="127" spans="1:23" s="6" customFormat="1" x14ac:dyDescent="0.2">
      <c r="A127" s="22" t="s">
        <v>883</v>
      </c>
      <c r="B127" s="22"/>
      <c r="C127" s="22"/>
      <c r="D127" s="22"/>
    </row>
    <row r="129" spans="1:23" x14ac:dyDescent="0.2">
      <c r="A129" t="s">
        <v>884</v>
      </c>
    </row>
    <row r="130" spans="1:23" s="28" customFormat="1" ht="13.5" thickBot="1" x14ac:dyDescent="0.25"/>
    <row r="131" spans="1:23" x14ac:dyDescent="0.2">
      <c r="A131" s="25" t="s">
        <v>1037</v>
      </c>
      <c r="B131" s="23"/>
      <c r="C131" s="23"/>
      <c r="G131" s="13"/>
      <c r="H131" s="1"/>
      <c r="I131" s="1"/>
      <c r="J131" s="1"/>
      <c r="K131" s="1"/>
      <c r="L131" s="1"/>
      <c r="M131" s="1"/>
      <c r="N131" s="1"/>
      <c r="O131" s="1"/>
    </row>
    <row r="132" spans="1:23" x14ac:dyDescent="0.2">
      <c r="B132" s="3" t="s">
        <v>353</v>
      </c>
      <c r="E132" s="1">
        <f>-N125</f>
        <v>0</v>
      </c>
      <c r="G132" s="1"/>
      <c r="H132" s="1" t="s">
        <v>844</v>
      </c>
      <c r="I132" s="1" t="s">
        <v>845</v>
      </c>
      <c r="J132" s="1" t="s">
        <v>846</v>
      </c>
      <c r="K132" s="1" t="s">
        <v>847</v>
      </c>
      <c r="L132" s="1"/>
      <c r="M132" s="1" t="s">
        <v>163</v>
      </c>
      <c r="N132" s="1" t="s">
        <v>526</v>
      </c>
      <c r="O132" s="1" t="s">
        <v>527</v>
      </c>
    </row>
    <row r="133" spans="1:23" x14ac:dyDescent="0.2">
      <c r="B133" s="3" t="s">
        <v>205</v>
      </c>
      <c r="E133" s="1">
        <v>0</v>
      </c>
      <c r="G133" s="1" t="s">
        <v>856</v>
      </c>
      <c r="H133" s="19">
        <f>M133*N133*O133+M134*N134*O134</f>
        <v>1</v>
      </c>
      <c r="I133" s="19">
        <f>M134*N133*O133-M133*N134*O134</f>
        <v>0</v>
      </c>
      <c r="J133" s="19">
        <f>M133*N134*O133+M134*N133*O134</f>
        <v>0</v>
      </c>
      <c r="K133" s="19">
        <f>M133*N133*O134-M134*N134*O133</f>
        <v>0</v>
      </c>
      <c r="L133" s="20" t="s">
        <v>34</v>
      </c>
      <c r="M133" s="1">
        <f>COS(-0.5*E134*PI()/180)</f>
        <v>1</v>
      </c>
      <c r="N133" s="1">
        <f>COS(0.5*E133*PI()/180)</f>
        <v>1</v>
      </c>
      <c r="O133" s="1">
        <f>COS(0.5*E132*PI()/180)</f>
        <v>1</v>
      </c>
    </row>
    <row r="134" spans="1:23" x14ac:dyDescent="0.2">
      <c r="B134" s="3" t="s">
        <v>125</v>
      </c>
      <c r="E134" s="1">
        <v>0</v>
      </c>
      <c r="G134" s="1" t="s">
        <v>857</v>
      </c>
      <c r="H134" s="1">
        <f>J133</f>
        <v>0</v>
      </c>
      <c r="I134" s="1">
        <f>I133</f>
        <v>0</v>
      </c>
      <c r="J134" s="1">
        <f>K133</f>
        <v>0</v>
      </c>
      <c r="K134" s="1">
        <f>H133</f>
        <v>1</v>
      </c>
      <c r="L134" s="20" t="s">
        <v>35</v>
      </c>
      <c r="M134" s="1">
        <f>SIN(-0.5*E134*PI()/180)</f>
        <v>0</v>
      </c>
      <c r="N134" s="1">
        <f>SIN(0.5*E133*PI()/180)</f>
        <v>0</v>
      </c>
      <c r="O134" s="1">
        <f>SIN(0.5*E132*PI()/180)</f>
        <v>0</v>
      </c>
    </row>
    <row r="135" spans="1:23" x14ac:dyDescent="0.2">
      <c r="B135" s="3" t="s">
        <v>891</v>
      </c>
      <c r="E135" s="1"/>
      <c r="F135" s="59"/>
      <c r="G135" s="1"/>
      <c r="H135" s="19" t="s">
        <v>36</v>
      </c>
      <c r="I135" s="19" t="s">
        <v>37</v>
      </c>
      <c r="J135" s="19" t="s">
        <v>38</v>
      </c>
      <c r="K135" s="19" t="s">
        <v>882</v>
      </c>
      <c r="L135" s="19" t="s">
        <v>881</v>
      </c>
      <c r="M135" s="19" t="s">
        <v>523</v>
      </c>
      <c r="N135" s="19"/>
      <c r="O135" s="19"/>
      <c r="W135" s="59"/>
    </row>
    <row r="136" spans="1:23" hidden="1" x14ac:dyDescent="0.2">
      <c r="E136" s="1"/>
      <c r="G136" s="1" t="s">
        <v>39</v>
      </c>
      <c r="H136" s="19">
        <f>-2*H133*I133+2*J133*K133</f>
        <v>0</v>
      </c>
      <c r="I136" s="19">
        <f>2*H133*J133+2*I133*K133</f>
        <v>0</v>
      </c>
      <c r="J136" s="19">
        <f>H133*H133-I133*I133-J133*J133+K133*K133</f>
        <v>1</v>
      </c>
      <c r="K136" s="19">
        <f>IF(ABS(I136)&lt;0.99999,ATAN(I136/SQRT(H136*H136+J136*J136)),SIGN(I136)*1000)</f>
        <v>0</v>
      </c>
      <c r="L136" s="19">
        <f>IF(ABS(I136)&lt;0.99999,180/PI()*ATAN(I136/SQRT(H136*H136+J136*J136)),SIGN(I136)*90)</f>
        <v>0</v>
      </c>
      <c r="M136" s="19">
        <f>IF(ABS(H136)&gt;0.00001,IF(H136&gt;0,90-180/PI()*ATAN(J136/H136),-90-180/PI()*ATAN(J136/H136)),-90+SIGN(J136)*90)</f>
        <v>0</v>
      </c>
      <c r="N136" s="19"/>
      <c r="O136" s="19"/>
    </row>
    <row r="137" spans="1:23" hidden="1" x14ac:dyDescent="0.2">
      <c r="E137" s="1"/>
      <c r="G137" s="1"/>
      <c r="H137" s="19"/>
      <c r="I137" s="19"/>
      <c r="J137" s="19"/>
      <c r="K137" s="19"/>
      <c r="L137" s="19"/>
      <c r="M137" s="19"/>
      <c r="N137" s="19"/>
      <c r="O137" s="19"/>
    </row>
    <row r="138" spans="1:23" hidden="1" x14ac:dyDescent="0.2">
      <c r="E138" s="1">
        <v>0</v>
      </c>
      <c r="G138" s="1"/>
      <c r="H138" s="1" t="s">
        <v>850</v>
      </c>
      <c r="I138" s="1" t="s">
        <v>851</v>
      </c>
      <c r="J138" s="1" t="s">
        <v>852</v>
      </c>
      <c r="K138" s="1" t="s">
        <v>853</v>
      </c>
      <c r="L138" s="1"/>
      <c r="M138" s="1" t="s">
        <v>163</v>
      </c>
      <c r="N138" s="1" t="s">
        <v>526</v>
      </c>
      <c r="O138" s="1" t="s">
        <v>527</v>
      </c>
    </row>
    <row r="139" spans="1:23" hidden="1" x14ac:dyDescent="0.2">
      <c r="E139" s="1">
        <f>-L104</f>
        <v>0</v>
      </c>
      <c r="G139" s="1" t="s">
        <v>855</v>
      </c>
      <c r="H139" s="19">
        <f>M139*N139*O139+M140*N140*O140</f>
        <v>1</v>
      </c>
      <c r="I139" s="19">
        <f>M140*N139*O139-M139*N140*O140</f>
        <v>0</v>
      </c>
      <c r="J139" s="19">
        <f>M139*N140*O139+M140*N139*O140</f>
        <v>0</v>
      </c>
      <c r="K139" s="19">
        <f>M139*N139*O140-M140*N140*O139</f>
        <v>0</v>
      </c>
      <c r="L139" s="20" t="s">
        <v>34</v>
      </c>
      <c r="M139" s="1">
        <f>COS(-0.5*E140*PI()/180)</f>
        <v>1</v>
      </c>
      <c r="N139" s="1">
        <f>COS(0.5*E139*PI()/180)</f>
        <v>1</v>
      </c>
      <c r="O139" s="1">
        <f>COS(0.5*E138*PI()/180)</f>
        <v>1</v>
      </c>
    </row>
    <row r="140" spans="1:23" hidden="1" x14ac:dyDescent="0.2">
      <c r="E140" s="1">
        <v>0</v>
      </c>
      <c r="G140" s="1" t="s">
        <v>854</v>
      </c>
      <c r="H140" s="19">
        <f>H139*H133-I139*I133-J139*J133-K139*K133</f>
        <v>1</v>
      </c>
      <c r="I140" s="19">
        <f>H139*I133+I139*H133+J139*K133-K139*J133</f>
        <v>0</v>
      </c>
      <c r="J140" s="19">
        <f>H139*J133-I139*K133+J139*H133+K139*I133</f>
        <v>0</v>
      </c>
      <c r="K140" s="19">
        <f>H139*K133+I139*J133-J139*I133+K139*H133</f>
        <v>0</v>
      </c>
      <c r="L140" s="20" t="s">
        <v>35</v>
      </c>
      <c r="M140" s="1">
        <f>SIN(-0.5*E140*PI()/180)</f>
        <v>0</v>
      </c>
      <c r="N140" s="1">
        <f>SIN(0.5*E139*PI()/180)</f>
        <v>0</v>
      </c>
      <c r="O140" s="1">
        <f>SIN(0.5*E138*PI()/180)</f>
        <v>0</v>
      </c>
    </row>
    <row r="141" spans="1:23" hidden="1" x14ac:dyDescent="0.2">
      <c r="E141" s="1"/>
      <c r="G141" s="1" t="s">
        <v>848</v>
      </c>
      <c r="H141" s="1">
        <f>J140</f>
        <v>0</v>
      </c>
      <c r="I141" s="1">
        <f>I140</f>
        <v>0</v>
      </c>
      <c r="J141" s="1">
        <f>K140</f>
        <v>0</v>
      </c>
      <c r="K141" s="1">
        <f>H140</f>
        <v>1</v>
      </c>
      <c r="L141" s="20"/>
      <c r="M141" s="1"/>
      <c r="N141" s="1"/>
      <c r="O141" s="1"/>
    </row>
    <row r="142" spans="1:23" hidden="1" x14ac:dyDescent="0.2">
      <c r="E142" s="1"/>
      <c r="G142" s="1"/>
      <c r="H142" s="19" t="s">
        <v>36</v>
      </c>
      <c r="I142" s="19" t="s">
        <v>37</v>
      </c>
      <c r="J142" s="19" t="s">
        <v>38</v>
      </c>
      <c r="K142" s="135" t="s">
        <v>882</v>
      </c>
      <c r="L142" s="135" t="s">
        <v>881</v>
      </c>
      <c r="M142" s="135" t="s">
        <v>523</v>
      </c>
      <c r="N142" s="19"/>
      <c r="O142" s="19"/>
    </row>
    <row r="143" spans="1:23" hidden="1" x14ac:dyDescent="0.2">
      <c r="E143" s="1"/>
      <c r="G143" s="1" t="s">
        <v>39</v>
      </c>
      <c r="H143" s="19">
        <f>-2*H140*I140+2*J140*K140</f>
        <v>0</v>
      </c>
      <c r="I143" s="19">
        <f>2*H140*J140+2*I140*K140</f>
        <v>0</v>
      </c>
      <c r="J143" s="19">
        <f>H140*H140-I140*I140-J140*J140+K140*K140</f>
        <v>1</v>
      </c>
      <c r="K143" s="135">
        <f>IF(ABS(I143)&lt;0.99999,ATAN(I143/SQRT(H143*H143+J143*J143)),SIGN(I143)*1000)</f>
        <v>0</v>
      </c>
      <c r="L143" s="135">
        <f>IF(ABS(I143)&lt;0.99999,180/PI()*ATAN(I143/SQRT(H143*H143+J143*J143)),SIGN(I143)*90)</f>
        <v>0</v>
      </c>
      <c r="M143" s="135">
        <f>IF(ABS(H143)&gt;0.00001,IF(H143&gt;0,90-180/PI()*ATAN(J143/H143),-90-180/PI()*ATAN(J143/H143)),-90+SIGN(J143)*90)</f>
        <v>0</v>
      </c>
      <c r="N143" s="19"/>
      <c r="O143" s="19"/>
    </row>
    <row r="144" spans="1:23" hidden="1" x14ac:dyDescent="0.2">
      <c r="E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23" hidden="1" x14ac:dyDescent="0.2">
      <c r="E145" s="1">
        <v>0</v>
      </c>
      <c r="G145" s="1"/>
      <c r="H145" s="1" t="s">
        <v>860</v>
      </c>
      <c r="I145" s="1" t="s">
        <v>861</v>
      </c>
      <c r="J145" s="1" t="s">
        <v>862</v>
      </c>
      <c r="K145" s="1" t="s">
        <v>863</v>
      </c>
      <c r="L145" s="1"/>
      <c r="M145" s="1" t="s">
        <v>163</v>
      </c>
      <c r="N145" s="1" t="s">
        <v>526</v>
      </c>
      <c r="O145" s="1" t="s">
        <v>527</v>
      </c>
    </row>
    <row r="146" spans="1:23" hidden="1" x14ac:dyDescent="0.2">
      <c r="E146" s="1">
        <v>0</v>
      </c>
      <c r="G146" s="1" t="s">
        <v>864</v>
      </c>
      <c r="H146" s="19">
        <f>M146*N146*O146+M147*N147*O147</f>
        <v>0.99619469809174555</v>
      </c>
      <c r="I146" s="19">
        <f>M147*N146*O146-M146*N147*O147</f>
        <v>8.7155742747658166E-2</v>
      </c>
      <c r="J146" s="19">
        <f>M146*N147*O146+M147*N146*O147</f>
        <v>0</v>
      </c>
      <c r="K146" s="19">
        <f>M146*N146*O147-M147*N147*O146</f>
        <v>0</v>
      </c>
      <c r="L146" s="20" t="s">
        <v>34</v>
      </c>
      <c r="M146" s="1">
        <f>COS(-0.5*E147*PI()/180)</f>
        <v>0.99619469809174555</v>
      </c>
      <c r="N146" s="1">
        <f>COS(0.5*E146*PI()/180)</f>
        <v>1</v>
      </c>
      <c r="O146" s="1">
        <f>COS(0.5*E145*PI()/180)</f>
        <v>1</v>
      </c>
    </row>
    <row r="147" spans="1:23" hidden="1" x14ac:dyDescent="0.2">
      <c r="E147" s="1">
        <f>M104-180</f>
        <v>-10</v>
      </c>
      <c r="G147" s="1" t="s">
        <v>865</v>
      </c>
      <c r="H147" s="19">
        <f>H146*H140-I146*I140-J146*J140-K146*K140</f>
        <v>0.99619469809174555</v>
      </c>
      <c r="I147" s="19">
        <f>H146*I140+I146*H140+J146*K140-K146*J140</f>
        <v>8.7155742747658166E-2</v>
      </c>
      <c r="J147" s="19">
        <f>H146*J140-I146*K140+J146*H140+K146*I140</f>
        <v>0</v>
      </c>
      <c r="K147" s="19">
        <f>H146*K140+I146*J140-J146*I140+K146*H140</f>
        <v>0</v>
      </c>
      <c r="L147" s="20" t="s">
        <v>35</v>
      </c>
      <c r="M147" s="1">
        <f>SIN(-0.5*E147*PI()/180)</f>
        <v>8.7155742747658166E-2</v>
      </c>
      <c r="N147" s="1">
        <f>SIN(0.5*E146*PI()/180)</f>
        <v>0</v>
      </c>
      <c r="O147" s="1">
        <f>SIN(0.5*E145*PI()/180)</f>
        <v>0</v>
      </c>
    </row>
    <row r="148" spans="1:23" hidden="1" x14ac:dyDescent="0.2">
      <c r="G148" s="1" t="s">
        <v>848</v>
      </c>
      <c r="H148" s="1">
        <f>J147</f>
        <v>0</v>
      </c>
      <c r="I148" s="1">
        <f>I147</f>
        <v>8.7155742747658166E-2</v>
      </c>
      <c r="J148" s="1">
        <f>K147</f>
        <v>0</v>
      </c>
      <c r="K148" s="1">
        <f>H147</f>
        <v>0.99619469809174555</v>
      </c>
      <c r="L148" s="20"/>
      <c r="M148" s="1"/>
      <c r="N148" s="1"/>
      <c r="O148" s="1"/>
    </row>
    <row r="149" spans="1:23" hidden="1" x14ac:dyDescent="0.2">
      <c r="G149" s="1"/>
      <c r="H149" s="19" t="s">
        <v>36</v>
      </c>
      <c r="I149" s="19" t="s">
        <v>37</v>
      </c>
      <c r="J149" s="19" t="s">
        <v>38</v>
      </c>
      <c r="K149" s="19" t="s">
        <v>882</v>
      </c>
      <c r="L149" s="19" t="s">
        <v>881</v>
      </c>
      <c r="M149" s="19" t="s">
        <v>523</v>
      </c>
      <c r="N149" s="19"/>
      <c r="O149" s="19"/>
    </row>
    <row r="150" spans="1:23" hidden="1" x14ac:dyDescent="0.2">
      <c r="G150" s="1" t="s">
        <v>39</v>
      </c>
      <c r="H150" s="19">
        <f>-2*H147*I147+2*J147*K147</f>
        <v>-0.17364817766693033</v>
      </c>
      <c r="I150" s="19">
        <f>2*H147*J147+2*I147*K147</f>
        <v>0</v>
      </c>
      <c r="J150" s="19">
        <f>H147*H147-I147*I147-J147*J147+K147*K147</f>
        <v>0.98480775301220813</v>
      </c>
      <c r="K150" s="19">
        <f>IF(ABS(I150)&lt;0.99999,ATAN(I150/SQRT(H150*H150+J150*J150)),SIGN(I150)*1000)</f>
        <v>0</v>
      </c>
      <c r="L150" s="19">
        <f>IF(ABS(I150)&lt;0.99999,180/PI()*ATAN(I150/SQRT(H150*H150+J150*J150)),SIGN(I150)*90)</f>
        <v>0</v>
      </c>
      <c r="M150" s="19">
        <f>IF(ABS(H150)&gt;0.00001,IF(H150&gt;0,90-180/PI()*ATAN(J150/H150),-90-180/PI()*ATAN(J150/H150)),-90+SIGN(J150)*90)</f>
        <v>-10</v>
      </c>
      <c r="N150" s="19"/>
      <c r="O150" s="19"/>
    </row>
    <row r="151" spans="1:23" x14ac:dyDescent="0.2">
      <c r="A151" s="22" t="s">
        <v>877</v>
      </c>
      <c r="B151" s="24" t="s">
        <v>878</v>
      </c>
      <c r="C151" s="65" t="str">
        <f>CONCATENATE(TEXT(H148,"0.000000")," ",TEXT(I148,"0.000000")," ",TEXT(J148,"0.000000")," ",TEXT(K148,"0.000000"))</f>
        <v>0.000000 0.087156 0.000000 0.996195</v>
      </c>
      <c r="D151" s="2"/>
      <c r="E151" s="2"/>
      <c r="F151" s="59"/>
      <c r="G151" s="13"/>
      <c r="H151" s="15"/>
      <c r="I151" s="2"/>
      <c r="J151" s="2"/>
      <c r="K151" s="2"/>
      <c r="W151" s="59"/>
    </row>
    <row r="152" spans="1:23" s="28" customFormat="1" ht="13.5" thickBot="1" x14ac:dyDescent="0.25"/>
    <row r="153" spans="1:23" x14ac:dyDescent="0.2">
      <c r="A153" s="25" t="s">
        <v>126</v>
      </c>
      <c r="B153" s="23"/>
      <c r="C153" s="23"/>
      <c r="G153" s="13"/>
      <c r="H153" s="1"/>
      <c r="I153" s="1"/>
      <c r="J153" s="1"/>
      <c r="K153" s="1"/>
      <c r="L153" s="1"/>
      <c r="M153" s="1"/>
      <c r="N153" s="1"/>
      <c r="O153" s="1"/>
    </row>
    <row r="154" spans="1:23" x14ac:dyDescent="0.2">
      <c r="B154" s="3" t="s">
        <v>205</v>
      </c>
      <c r="E154" s="1">
        <f>-N125</f>
        <v>0</v>
      </c>
      <c r="G154" s="1"/>
      <c r="H154" s="1" t="s">
        <v>844</v>
      </c>
      <c r="I154" s="1" t="s">
        <v>845</v>
      </c>
      <c r="J154" s="1" t="s">
        <v>846</v>
      </c>
      <c r="K154" s="1" t="s">
        <v>847</v>
      </c>
      <c r="L154" s="1"/>
      <c r="M154" s="1" t="s">
        <v>163</v>
      </c>
      <c r="N154" s="1" t="s">
        <v>526</v>
      </c>
      <c r="O154" s="1" t="s">
        <v>527</v>
      </c>
    </row>
    <row r="155" spans="1:23" x14ac:dyDescent="0.2">
      <c r="B155" s="3" t="s">
        <v>125</v>
      </c>
      <c r="E155" s="1">
        <v>0</v>
      </c>
      <c r="G155" s="1" t="s">
        <v>856</v>
      </c>
      <c r="H155" s="19">
        <f>M155*N155*O155+M156*N156*O156</f>
        <v>1</v>
      </c>
      <c r="I155" s="19">
        <f>M156*N155*O155-M155*N156*O156</f>
        <v>0</v>
      </c>
      <c r="J155" s="19">
        <f>M155*N156*O155+M156*N155*O156</f>
        <v>0</v>
      </c>
      <c r="K155" s="19">
        <f>M155*N155*O156-M156*N156*O155</f>
        <v>0</v>
      </c>
      <c r="L155" s="20" t="s">
        <v>34</v>
      </c>
      <c r="M155" s="1">
        <f>COS(-0.5*E156*PI()/180)</f>
        <v>1</v>
      </c>
      <c r="N155" s="1">
        <f>COS(0.5*E155*PI()/180)</f>
        <v>1</v>
      </c>
      <c r="O155" s="1">
        <f>COS(0.5*E154*PI()/180)</f>
        <v>1</v>
      </c>
    </row>
    <row r="156" spans="1:23" x14ac:dyDescent="0.2">
      <c r="B156" s="3" t="s">
        <v>892</v>
      </c>
      <c r="E156" s="1">
        <v>0</v>
      </c>
      <c r="F156" s="59"/>
      <c r="G156" s="1" t="s">
        <v>857</v>
      </c>
      <c r="H156" s="1">
        <f>J155</f>
        <v>0</v>
      </c>
      <c r="I156" s="1">
        <f>I155</f>
        <v>0</v>
      </c>
      <c r="J156" s="1">
        <f>K155</f>
        <v>0</v>
      </c>
      <c r="K156" s="1">
        <f>H155</f>
        <v>1</v>
      </c>
      <c r="L156" s="20" t="s">
        <v>35</v>
      </c>
      <c r="M156" s="1">
        <f>SIN(-0.5*E156*PI()/180)</f>
        <v>0</v>
      </c>
      <c r="N156" s="1">
        <f>SIN(0.5*E155*PI()/180)</f>
        <v>0</v>
      </c>
      <c r="O156" s="1">
        <f>SIN(0.5*E154*PI()/180)</f>
        <v>0</v>
      </c>
      <c r="W156" s="59"/>
    </row>
    <row r="157" spans="1:23" hidden="1" x14ac:dyDescent="0.2">
      <c r="E157" s="1"/>
      <c r="G157" s="1"/>
      <c r="H157" s="19" t="s">
        <v>36</v>
      </c>
      <c r="I157" s="19" t="s">
        <v>37</v>
      </c>
      <c r="J157" s="19" t="s">
        <v>38</v>
      </c>
      <c r="K157" s="19" t="s">
        <v>882</v>
      </c>
      <c r="L157" s="19" t="s">
        <v>881</v>
      </c>
      <c r="M157" s="19" t="s">
        <v>523</v>
      </c>
      <c r="N157" s="19"/>
      <c r="O157" s="19"/>
    </row>
    <row r="158" spans="1:23" hidden="1" x14ac:dyDescent="0.2">
      <c r="E158" s="1"/>
      <c r="G158" s="1" t="s">
        <v>39</v>
      </c>
      <c r="H158" s="19">
        <f>-2*H155*I155+2*J155*K155</f>
        <v>0</v>
      </c>
      <c r="I158" s="19">
        <f>2*H155*J155+2*I155*K155</f>
        <v>0</v>
      </c>
      <c r="J158" s="19">
        <f>H155*H155-I155*I155-J155*J155+K155*K155</f>
        <v>1</v>
      </c>
      <c r="K158" s="19">
        <f>IF(ABS(I158)&lt;0.99999,ATAN(I158/SQRT(H158*H158+J158*J158)),SIGN(I158)*1000)</f>
        <v>0</v>
      </c>
      <c r="L158" s="19">
        <f>IF(ABS(I158)&lt;0.99999,180/PI()*ATAN(I158/SQRT(H158*H158+J158*J158)),SIGN(I158)*90)</f>
        <v>0</v>
      </c>
      <c r="M158" s="19">
        <f>IF(ABS(H158)&gt;0.00001,IF(H158&gt;0,90-180/PI()*ATAN(J158/H158),-90-180/PI()*ATAN(J158/H158)),-90+SIGN(J158)*90)</f>
        <v>0</v>
      </c>
      <c r="N158" s="19"/>
      <c r="O158" s="19"/>
    </row>
    <row r="159" spans="1:23" hidden="1" x14ac:dyDescent="0.2">
      <c r="E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23" hidden="1" x14ac:dyDescent="0.2">
      <c r="E160" s="1">
        <v>0</v>
      </c>
      <c r="G160" s="1"/>
      <c r="H160" s="1" t="s">
        <v>850</v>
      </c>
      <c r="I160" s="1" t="s">
        <v>851</v>
      </c>
      <c r="J160" s="1" t="s">
        <v>852</v>
      </c>
      <c r="K160" s="1" t="s">
        <v>853</v>
      </c>
      <c r="L160" s="1"/>
      <c r="M160" s="1" t="s">
        <v>163</v>
      </c>
      <c r="N160" s="1" t="s">
        <v>526</v>
      </c>
      <c r="O160" s="1" t="s">
        <v>527</v>
      </c>
    </row>
    <row r="161" spans="1:23" hidden="1" x14ac:dyDescent="0.2">
      <c r="E161" s="1">
        <f>-L104</f>
        <v>0</v>
      </c>
      <c r="G161" s="1" t="s">
        <v>855</v>
      </c>
      <c r="H161" s="19">
        <f>M161*N161*O161+M162*N162*O162</f>
        <v>1</v>
      </c>
      <c r="I161" s="19">
        <f>M162*N161*O161-M161*N162*O162</f>
        <v>0</v>
      </c>
      <c r="J161" s="19">
        <f>M161*N162*O161+M162*N161*O162</f>
        <v>0</v>
      </c>
      <c r="K161" s="19">
        <f>M161*N161*O162-M162*N162*O161</f>
        <v>0</v>
      </c>
      <c r="L161" s="20" t="s">
        <v>34</v>
      </c>
      <c r="M161" s="1">
        <f>COS(-0.5*E162*PI()/180)</f>
        <v>1</v>
      </c>
      <c r="N161" s="1">
        <f>COS(0.5*E161*PI()/180)</f>
        <v>1</v>
      </c>
      <c r="O161" s="1">
        <f>COS(0.5*E160*PI()/180)</f>
        <v>1</v>
      </c>
    </row>
    <row r="162" spans="1:23" hidden="1" x14ac:dyDescent="0.2">
      <c r="E162" s="1">
        <v>0</v>
      </c>
      <c r="G162" s="1" t="s">
        <v>854</v>
      </c>
      <c r="H162" s="19">
        <f>H161*H155-I161*I155-J161*J155-K161*K155</f>
        <v>1</v>
      </c>
      <c r="I162" s="19">
        <f>H161*I155+I161*H155+J161*K155-K161*J155</f>
        <v>0</v>
      </c>
      <c r="J162" s="19">
        <f>H161*J155-I161*K155+J161*H155+K161*I155</f>
        <v>0</v>
      </c>
      <c r="K162" s="19">
        <f>H161*K155+I161*J155-J161*I155+K161*H155</f>
        <v>0</v>
      </c>
      <c r="L162" s="20" t="s">
        <v>35</v>
      </c>
      <c r="M162" s="1">
        <f>SIN(-0.5*E162*PI()/180)</f>
        <v>0</v>
      </c>
      <c r="N162" s="1">
        <f>SIN(0.5*E161*PI()/180)</f>
        <v>0</v>
      </c>
      <c r="O162" s="1">
        <f>SIN(0.5*E160*PI()/180)</f>
        <v>0</v>
      </c>
    </row>
    <row r="163" spans="1:23" hidden="1" x14ac:dyDescent="0.2">
      <c r="E163" s="1"/>
      <c r="G163" s="1" t="s">
        <v>848</v>
      </c>
      <c r="H163" s="1">
        <f>J162</f>
        <v>0</v>
      </c>
      <c r="I163" s="1">
        <f>I162</f>
        <v>0</v>
      </c>
      <c r="J163" s="1">
        <f>K162</f>
        <v>0</v>
      </c>
      <c r="K163" s="1">
        <f>H162</f>
        <v>1</v>
      </c>
      <c r="L163" s="20"/>
      <c r="M163" s="1"/>
      <c r="N163" s="1"/>
      <c r="O163" s="1"/>
    </row>
    <row r="164" spans="1:23" hidden="1" x14ac:dyDescent="0.2">
      <c r="E164" s="1"/>
      <c r="G164" s="1"/>
      <c r="H164" s="19" t="s">
        <v>36</v>
      </c>
      <c r="I164" s="19" t="s">
        <v>37</v>
      </c>
      <c r="J164" s="19" t="s">
        <v>38</v>
      </c>
      <c r="K164" s="19" t="s">
        <v>882</v>
      </c>
      <c r="L164" s="19" t="s">
        <v>881</v>
      </c>
      <c r="M164" s="19" t="s">
        <v>523</v>
      </c>
      <c r="N164" s="19"/>
      <c r="O164" s="19"/>
    </row>
    <row r="165" spans="1:23" hidden="1" x14ac:dyDescent="0.2">
      <c r="E165" s="1"/>
      <c r="G165" s="1" t="s">
        <v>39</v>
      </c>
      <c r="H165" s="19">
        <f>-2*H162*I162+2*J162*K162</f>
        <v>0</v>
      </c>
      <c r="I165" s="19">
        <f>2*H162*J162+2*I162*K162</f>
        <v>0</v>
      </c>
      <c r="J165" s="19">
        <f>H162*H162-I162*I162-J162*J162+K162*K162</f>
        <v>1</v>
      </c>
      <c r="K165" s="19">
        <f>IF(ABS(I165)&lt;0.99999,ATAN(I165/SQRT(H165*H165+J165*J165)),SIGN(I165)*1000)</f>
        <v>0</v>
      </c>
      <c r="L165" s="19">
        <f>IF(ABS(I165)&lt;0.99999,180/PI()*ATAN(I165/SQRT(H165*H165+J165*J165)),SIGN(I165)*90)</f>
        <v>0</v>
      </c>
      <c r="M165" s="19">
        <f>IF(ABS(H165)&gt;0.00001,IF(H165&gt;0,90-180/PI()*ATAN(J165/H165),-90-180/PI()*ATAN(J165/H165)),-90+SIGN(J165)*90)</f>
        <v>0</v>
      </c>
      <c r="N165" s="19"/>
      <c r="O165" s="19"/>
    </row>
    <row r="166" spans="1:23" hidden="1" x14ac:dyDescent="0.2">
      <c r="E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23" hidden="1" x14ac:dyDescent="0.2">
      <c r="E167" s="1">
        <v>0</v>
      </c>
      <c r="G167" s="1"/>
      <c r="H167" s="1" t="s">
        <v>860</v>
      </c>
      <c r="I167" s="1" t="s">
        <v>861</v>
      </c>
      <c r="J167" s="1" t="s">
        <v>862</v>
      </c>
      <c r="K167" s="1" t="s">
        <v>863</v>
      </c>
      <c r="L167" s="1"/>
      <c r="M167" s="1" t="s">
        <v>163</v>
      </c>
      <c r="N167" s="1" t="s">
        <v>526</v>
      </c>
      <c r="O167" s="1" t="s">
        <v>527</v>
      </c>
    </row>
    <row r="168" spans="1:23" hidden="1" x14ac:dyDescent="0.2">
      <c r="E168" s="1">
        <v>0</v>
      </c>
      <c r="G168" s="1" t="s">
        <v>864</v>
      </c>
      <c r="H168" s="19">
        <f>M168*N168*O168+M169*N169*O169</f>
        <v>8.7155742747658138E-2</v>
      </c>
      <c r="I168" s="19">
        <f>M169*N168*O168-M168*N169*O169</f>
        <v>-0.99619469809174555</v>
      </c>
      <c r="J168" s="19">
        <f>M168*N169*O168+M169*N168*O169</f>
        <v>0</v>
      </c>
      <c r="K168" s="19">
        <f>M168*N168*O169-M169*N169*O168</f>
        <v>0</v>
      </c>
      <c r="L168" s="20" t="s">
        <v>34</v>
      </c>
      <c r="M168" s="1">
        <f>COS(-0.5*E169*PI()/180)</f>
        <v>8.7155742747658138E-2</v>
      </c>
      <c r="N168" s="1">
        <f>COS(0.5*E168*PI()/180)</f>
        <v>1</v>
      </c>
      <c r="O168" s="1">
        <f>COS(0.5*E167*PI()/180)</f>
        <v>1</v>
      </c>
    </row>
    <row r="169" spans="1:23" hidden="1" x14ac:dyDescent="0.2">
      <c r="E169" s="1">
        <f>M104</f>
        <v>170</v>
      </c>
      <c r="G169" s="1" t="s">
        <v>865</v>
      </c>
      <c r="H169" s="19">
        <f>H168*H162-I168*I162-J168*J162-K168*K162</f>
        <v>8.7155742747658138E-2</v>
      </c>
      <c r="I169" s="19">
        <f>H168*I162+I168*H162+J168*K162-K168*J162</f>
        <v>-0.99619469809174555</v>
      </c>
      <c r="J169" s="19">
        <f>H168*J162-I168*K162+J168*H162+K168*I162</f>
        <v>0</v>
      </c>
      <c r="K169" s="19">
        <f>H168*K162+I168*J162-J168*I162+K168*H162</f>
        <v>0</v>
      </c>
      <c r="L169" s="20" t="s">
        <v>35</v>
      </c>
      <c r="M169" s="1">
        <f>SIN(-0.5*E169*PI()/180)</f>
        <v>-0.99619469809174555</v>
      </c>
      <c r="N169" s="1">
        <f>SIN(0.5*E168*PI()/180)</f>
        <v>0</v>
      </c>
      <c r="O169" s="1">
        <f>SIN(0.5*E167*PI()/180)</f>
        <v>0</v>
      </c>
    </row>
    <row r="170" spans="1:23" hidden="1" x14ac:dyDescent="0.2">
      <c r="G170" s="1" t="s">
        <v>848</v>
      </c>
      <c r="H170" s="1">
        <f>J169</f>
        <v>0</v>
      </c>
      <c r="I170" s="1">
        <f>I169</f>
        <v>-0.99619469809174555</v>
      </c>
      <c r="J170" s="1">
        <f>K169</f>
        <v>0</v>
      </c>
      <c r="K170" s="1">
        <f>H169</f>
        <v>8.7155742747658138E-2</v>
      </c>
      <c r="L170" s="20"/>
      <c r="M170" s="1"/>
      <c r="N170" s="1"/>
      <c r="O170" s="1"/>
    </row>
    <row r="171" spans="1:23" hidden="1" x14ac:dyDescent="0.2">
      <c r="G171" s="1"/>
      <c r="H171" s="19" t="s">
        <v>36</v>
      </c>
      <c r="I171" s="19" t="s">
        <v>37</v>
      </c>
      <c r="J171" s="19" t="s">
        <v>38</v>
      </c>
      <c r="K171" s="19" t="s">
        <v>882</v>
      </c>
      <c r="L171" s="19" t="s">
        <v>881</v>
      </c>
      <c r="M171" s="19" t="s">
        <v>523</v>
      </c>
      <c r="N171" s="19"/>
      <c r="O171" s="19"/>
    </row>
    <row r="172" spans="1:23" hidden="1" x14ac:dyDescent="0.2">
      <c r="G172" s="1" t="s">
        <v>39</v>
      </c>
      <c r="H172" s="19">
        <f>-2*H169*I169+2*J169*K169</f>
        <v>0.17364817766693028</v>
      </c>
      <c r="I172" s="19">
        <f>2*H169*J169+2*I169*K169</f>
        <v>0</v>
      </c>
      <c r="J172" s="19">
        <f>H169*H169-I169*I169-J169*J169+K169*K169</f>
        <v>-0.98480775301220813</v>
      </c>
      <c r="K172" s="19">
        <f>IF(ABS(I172)&lt;0.99999,ATAN(I172/SQRT(H172*H172+J172*J172)),SIGN(I172)*1000)</f>
        <v>0</v>
      </c>
      <c r="L172" s="19">
        <f>IF(ABS(I172)&lt;0.99999,180/PI()*ATAN(I172/SQRT(H172*H172+J172*J172)),SIGN(I172)*90)</f>
        <v>0</v>
      </c>
      <c r="M172" s="19">
        <f>IF(ABS(H172)&gt;0.00001,IF(H172&gt;0,90-180/PI()*ATAN(J172/H172),-90-180/PI()*ATAN(J172/H172)),-90+SIGN(J172)*90)</f>
        <v>170</v>
      </c>
      <c r="N172" s="19"/>
      <c r="O172" s="19"/>
    </row>
    <row r="173" spans="1:23" x14ac:dyDescent="0.2">
      <c r="A173" s="22" t="s">
        <v>877</v>
      </c>
      <c r="B173" s="24" t="s">
        <v>878</v>
      </c>
      <c r="C173" s="65" t="str">
        <f>CONCATENATE(TEXT(H170,"0.000000")," ",TEXT(I170,"0.000000")," ",TEXT(J170,"0.000000")," ",TEXT(K170,"0.000000"))</f>
        <v>0.000000 -0.996195 0.000000 0.087156</v>
      </c>
      <c r="D173" s="2"/>
      <c r="E173" s="2"/>
      <c r="F173" s="59"/>
      <c r="G173" s="13"/>
      <c r="H173" s="15"/>
      <c r="I173" s="2"/>
      <c r="J173" s="2"/>
      <c r="K173" s="2"/>
      <c r="W173" s="59"/>
    </row>
    <row r="174" spans="1:23" s="28" customFormat="1" ht="13.5" thickBot="1" x14ac:dyDescent="0.25"/>
    <row r="175" spans="1:23" x14ac:dyDescent="0.2">
      <c r="A175" s="25" t="s">
        <v>127</v>
      </c>
      <c r="B175" s="23"/>
      <c r="C175" s="23"/>
      <c r="G175" s="1"/>
    </row>
    <row r="176" spans="1:23" x14ac:dyDescent="0.2">
      <c r="B176" s="3" t="s">
        <v>893</v>
      </c>
      <c r="E176" s="1">
        <v>0</v>
      </c>
      <c r="G176" s="1"/>
      <c r="H176" s="1" t="s">
        <v>886</v>
      </c>
      <c r="I176" s="1" t="s">
        <v>887</v>
      </c>
      <c r="J176" s="1" t="s">
        <v>888</v>
      </c>
      <c r="K176" s="1" t="s">
        <v>889</v>
      </c>
      <c r="L176" s="1"/>
      <c r="M176" s="1" t="s">
        <v>163</v>
      </c>
      <c r="N176" s="1" t="s">
        <v>526</v>
      </c>
      <c r="O176" s="1" t="s">
        <v>527</v>
      </c>
    </row>
    <row r="177" spans="1:23" x14ac:dyDescent="0.2">
      <c r="B177" s="3" t="s">
        <v>128</v>
      </c>
      <c r="E177" s="1">
        <v>0</v>
      </c>
      <c r="G177" s="1" t="s">
        <v>885</v>
      </c>
      <c r="H177" s="19">
        <f>M177*N177*O177+M178*N178*O178</f>
        <v>6.1257422745431001E-17</v>
      </c>
      <c r="I177" s="19">
        <f>M178*N177*O177-M177*N178*O178</f>
        <v>-1</v>
      </c>
      <c r="J177" s="19">
        <f>M177*N178*O177+M178*N177*O178</f>
        <v>0</v>
      </c>
      <c r="K177" s="19">
        <f>M177*N177*O178-M178*N178*O177</f>
        <v>0</v>
      </c>
      <c r="L177" s="20" t="s">
        <v>34</v>
      </c>
      <c r="M177" s="1">
        <f>COS(-0.5*E178*PI()/180)</f>
        <v>6.1257422745431001E-17</v>
      </c>
      <c r="N177" s="1">
        <f>COS(0.5*E177*PI()/180)</f>
        <v>1</v>
      </c>
      <c r="O177" s="1">
        <f>COS(0.5*E176*PI()/180)</f>
        <v>1</v>
      </c>
    </row>
    <row r="178" spans="1:23" x14ac:dyDescent="0.2">
      <c r="B178" s="3" t="s">
        <v>892</v>
      </c>
      <c r="E178" s="1">
        <v>180</v>
      </c>
      <c r="F178" s="59"/>
      <c r="G178" s="1" t="s">
        <v>890</v>
      </c>
      <c r="H178" s="19">
        <f>H177*H101-I177*I101-J177*J101-K177*K101</f>
        <v>-0.99619469809174555</v>
      </c>
      <c r="I178" s="19">
        <f>H177*I101+I177*H101+J177*K101-K177*J101</f>
        <v>-8.7155742747658194E-2</v>
      </c>
      <c r="J178" s="19">
        <f>H177*J101-I177*K101+J177*H101+K177*I101</f>
        <v>0</v>
      </c>
      <c r="K178" s="19">
        <f>H177*K101+I177*J101-J177*I101+K177*H101</f>
        <v>0</v>
      </c>
      <c r="L178" s="20" t="s">
        <v>35</v>
      </c>
      <c r="M178" s="1">
        <f>SIN(-0.5*E178*PI()/180)</f>
        <v>-1</v>
      </c>
      <c r="N178" s="1">
        <f>SIN(0.5*E177*PI()/180)</f>
        <v>0</v>
      </c>
      <c r="O178" s="1">
        <f>SIN(0.5*E176*PI()/180)</f>
        <v>0</v>
      </c>
      <c r="W178" s="59"/>
    </row>
    <row r="179" spans="1:23" hidden="1" x14ac:dyDescent="0.2">
      <c r="G179" s="1" t="s">
        <v>848</v>
      </c>
      <c r="H179" s="1">
        <f>J178</f>
        <v>0</v>
      </c>
      <c r="I179" s="1">
        <f>I178</f>
        <v>-8.7155742747658194E-2</v>
      </c>
      <c r="J179" s="1">
        <f>K178</f>
        <v>0</v>
      </c>
      <c r="K179" s="1">
        <f>H178</f>
        <v>-0.99619469809174555</v>
      </c>
      <c r="L179" s="20"/>
      <c r="M179" s="1"/>
      <c r="N179" s="1"/>
      <c r="O179" s="1"/>
    </row>
    <row r="180" spans="1:23" hidden="1" x14ac:dyDescent="0.2">
      <c r="G180" s="1"/>
      <c r="H180" s="19" t="s">
        <v>36</v>
      </c>
      <c r="I180" s="19" t="s">
        <v>37</v>
      </c>
      <c r="J180" s="19" t="s">
        <v>38</v>
      </c>
      <c r="K180" s="19" t="s">
        <v>882</v>
      </c>
      <c r="L180" s="19" t="s">
        <v>881</v>
      </c>
      <c r="M180" s="19" t="s">
        <v>523</v>
      </c>
      <c r="N180" s="19"/>
      <c r="O180" s="19"/>
    </row>
    <row r="181" spans="1:23" hidden="1" x14ac:dyDescent="0.2">
      <c r="G181" s="1" t="s">
        <v>39</v>
      </c>
      <c r="H181" s="19">
        <f>-2*H178*I178+2*J178*K178</f>
        <v>-0.17364817766693039</v>
      </c>
      <c r="I181" s="19">
        <f>2*H178*J178+2*I178*K178</f>
        <v>0</v>
      </c>
      <c r="J181" s="19">
        <f>H178*H178-I178*I178-J178*J178+K178*K178</f>
        <v>0.98480775301220813</v>
      </c>
      <c r="K181" s="19">
        <f>IF(ABS(I181)&lt;0.99999,ATAN(I181/SQRT(H181*H181+J181*J181)),SIGN(I181)*1000)</f>
        <v>0</v>
      </c>
      <c r="L181" s="19">
        <f>IF(ABS(I181)&lt;0.99999,180/PI()*ATAN(I181/SQRT(H181*H181+J181*J181)),SIGN(I181)*90)</f>
        <v>0</v>
      </c>
      <c r="M181" s="19">
        <f>IF(ABS(H181)&gt;0.00001,IF(H181&gt;0,90-180/PI()*ATAN(J181/H181),-90-180/PI()*ATAN(J181/H181)),-90+SIGN(J181)*90)</f>
        <v>-10</v>
      </c>
      <c r="N181" s="19"/>
      <c r="O181" s="19"/>
    </row>
    <row r="182" spans="1:23" x14ac:dyDescent="0.2">
      <c r="A182" s="22" t="s">
        <v>877</v>
      </c>
      <c r="B182" s="24" t="s">
        <v>878</v>
      </c>
      <c r="C182" s="65" t="str">
        <f>CONCATENATE(TEXT(H179,"0.000000")," ",TEXT(I179,"0.000000")," ",TEXT(J179,"0.000000")," ",TEXT(K179,"0.000000"))</f>
        <v>0.000000 -0.087156 0.000000 -0.996195</v>
      </c>
      <c r="D182" s="2"/>
      <c r="E182" s="2"/>
      <c r="F182" s="59"/>
      <c r="G182" s="16"/>
      <c r="H182" s="15"/>
      <c r="I182" s="2"/>
      <c r="J182" s="2"/>
      <c r="K182" s="2"/>
      <c r="W182" s="59"/>
    </row>
    <row r="183" spans="1:23" s="28" customFormat="1" ht="13.5" thickBot="1" x14ac:dyDescent="0.25">
      <c r="A183" s="29"/>
      <c r="B183" s="29"/>
      <c r="C183" s="29"/>
      <c r="E183" s="30"/>
      <c r="G183" s="30"/>
      <c r="H183" s="31"/>
      <c r="I183" s="31"/>
      <c r="J183" s="31"/>
      <c r="K183" s="31"/>
      <c r="L183" s="32"/>
      <c r="M183" s="30"/>
      <c r="N183" s="30"/>
      <c r="O183" s="30"/>
    </row>
    <row r="184" spans="1:23" x14ac:dyDescent="0.2">
      <c r="A184" s="25" t="s">
        <v>129</v>
      </c>
      <c r="B184" s="23"/>
      <c r="C184" s="23"/>
      <c r="G184" s="1"/>
    </row>
    <row r="185" spans="1:23" x14ac:dyDescent="0.2">
      <c r="B185" s="3" t="s">
        <v>206</v>
      </c>
      <c r="E185" s="1">
        <v>0</v>
      </c>
      <c r="G185" s="1"/>
      <c r="H185" s="1" t="s">
        <v>886</v>
      </c>
      <c r="I185" s="1" t="s">
        <v>887</v>
      </c>
      <c r="J185" s="1" t="s">
        <v>888</v>
      </c>
      <c r="K185" s="1" t="s">
        <v>889</v>
      </c>
      <c r="L185" s="1"/>
      <c r="M185" s="1" t="s">
        <v>163</v>
      </c>
      <c r="N185" s="1" t="s">
        <v>526</v>
      </c>
      <c r="O185" s="1" t="s">
        <v>527</v>
      </c>
    </row>
    <row r="186" spans="1:23" x14ac:dyDescent="0.2">
      <c r="B186" s="3" t="s">
        <v>893</v>
      </c>
      <c r="E186" s="1">
        <v>0</v>
      </c>
      <c r="G186" s="1" t="s">
        <v>885</v>
      </c>
      <c r="H186" s="19">
        <f>M186*N186*O186+M187*N187*O187</f>
        <v>0.70710678118654757</v>
      </c>
      <c r="I186" s="19">
        <f>M187*N186*O186-M186*N187*O187</f>
        <v>-0.70710678118654746</v>
      </c>
      <c r="J186" s="19">
        <f>M186*N187*O186+M187*N186*O187</f>
        <v>0</v>
      </c>
      <c r="K186" s="19">
        <f>M186*N186*O187-M187*N187*O186</f>
        <v>0</v>
      </c>
      <c r="L186" s="20" t="s">
        <v>34</v>
      </c>
      <c r="M186" s="1">
        <f>COS(-0.5*E187*PI()/180)</f>
        <v>0.70710678118654757</v>
      </c>
      <c r="N186" s="1">
        <f>COS(0.5*E186*PI()/180)</f>
        <v>1</v>
      </c>
      <c r="O186" s="1">
        <f>COS(0.5*E185*PI()/180)</f>
        <v>1</v>
      </c>
    </row>
    <row r="187" spans="1:23" x14ac:dyDescent="0.2">
      <c r="B187" s="3" t="s">
        <v>128</v>
      </c>
      <c r="E187" s="1">
        <v>90</v>
      </c>
      <c r="G187" s="1" t="s">
        <v>890</v>
      </c>
      <c r="H187" s="19">
        <f>H186*H101-I186*I101-J186*J101-K186*K101</f>
        <v>-0.64278760968653925</v>
      </c>
      <c r="I187" s="19">
        <f>H186*I101+I186*H101+J186*K101-K186*J101</f>
        <v>-0.76604444311897801</v>
      </c>
      <c r="J187" s="19">
        <f>H186*J101-I186*K101+J186*H101+K186*I101</f>
        <v>0</v>
      </c>
      <c r="K187" s="19">
        <f>H186*K101+I186*J101-J186*I101+K186*H101</f>
        <v>0</v>
      </c>
      <c r="L187" s="20" t="s">
        <v>35</v>
      </c>
      <c r="M187" s="1">
        <f>SIN(-0.5*E187*PI()/180)</f>
        <v>-0.70710678118654746</v>
      </c>
      <c r="N187" s="1">
        <f>SIN(0.5*E186*PI()/180)</f>
        <v>0</v>
      </c>
      <c r="O187" s="1">
        <f>SIN(0.5*E185*PI()/180)</f>
        <v>0</v>
      </c>
    </row>
    <row r="188" spans="1:23" x14ac:dyDescent="0.2">
      <c r="B188" s="3" t="s">
        <v>892</v>
      </c>
      <c r="F188" s="59"/>
      <c r="G188" s="1" t="s">
        <v>848</v>
      </c>
      <c r="H188" s="1">
        <f>J187</f>
        <v>0</v>
      </c>
      <c r="I188" s="1">
        <f>I187</f>
        <v>-0.76604444311897801</v>
      </c>
      <c r="J188" s="1">
        <f>K187</f>
        <v>0</v>
      </c>
      <c r="K188" s="1">
        <f>H187</f>
        <v>-0.64278760968653925</v>
      </c>
      <c r="L188" s="20"/>
      <c r="M188" s="1"/>
      <c r="N188" s="1"/>
      <c r="O188" s="1"/>
      <c r="W188" s="59"/>
    </row>
    <row r="189" spans="1:23" hidden="1" x14ac:dyDescent="0.2">
      <c r="G189" s="1"/>
      <c r="H189" s="19" t="s">
        <v>36</v>
      </c>
      <c r="I189" s="19" t="s">
        <v>37</v>
      </c>
      <c r="J189" s="19" t="s">
        <v>38</v>
      </c>
      <c r="K189" s="19" t="s">
        <v>882</v>
      </c>
      <c r="L189" s="19" t="s">
        <v>881</v>
      </c>
      <c r="M189" s="19" t="s">
        <v>523</v>
      </c>
      <c r="N189" s="19"/>
      <c r="O189" s="19"/>
    </row>
    <row r="190" spans="1:23" hidden="1" x14ac:dyDescent="0.2">
      <c r="G190" s="1" t="s">
        <v>39</v>
      </c>
      <c r="H190" s="19">
        <f>-2*H187*I187+2*J187*K187</f>
        <v>-0.98480775301220791</v>
      </c>
      <c r="I190" s="19">
        <f>2*H187*J187+2*I187*K187</f>
        <v>0</v>
      </c>
      <c r="J190" s="19">
        <f>H187*H187-I187*I187-J187*J187+K187*K187</f>
        <v>-0.17364817766693041</v>
      </c>
      <c r="K190" s="19">
        <f>IF(ABS(I190)&lt;0.99999,ATAN(I190/SQRT(H190*H190+J190*J190)),SIGN(I190)*1000)</f>
        <v>0</v>
      </c>
      <c r="L190" s="19">
        <f>IF(ABS(I190)&lt;0.99999,180/PI()*ATAN(I190/SQRT(H190*H190+J190*J190)),SIGN(I190)*90)</f>
        <v>0</v>
      </c>
      <c r="M190" s="19">
        <f>IF(ABS(H190)&gt;0.00001,IF(H190&gt;0,90-180/PI()*ATAN(J190/H190),-90-180/PI()*ATAN(J190/H190)),-90+SIGN(J190)*90)</f>
        <v>-100</v>
      </c>
      <c r="N190" s="19"/>
      <c r="O190" s="19"/>
    </row>
    <row r="191" spans="1:23" x14ac:dyDescent="0.2">
      <c r="A191" s="22" t="s">
        <v>877</v>
      </c>
      <c r="B191" s="24" t="s">
        <v>878</v>
      </c>
      <c r="C191" s="65" t="str">
        <f>CONCATENATE(TEXT(H188,"0.000000")," ",TEXT(I188,"0.000000")," ",TEXT(J188,"0.000000")," ",TEXT(K188,"0.000000"))</f>
        <v>0.000000 -0.766044 0.000000 -0.642788</v>
      </c>
      <c r="D191" s="2"/>
      <c r="E191" s="2"/>
      <c r="F191" s="59"/>
      <c r="G191" s="16"/>
      <c r="H191" s="15"/>
      <c r="I191" s="2"/>
      <c r="J191" s="2"/>
      <c r="K191" s="2"/>
      <c r="W191" s="59"/>
    </row>
    <row r="192" spans="1:23" s="28" customFormat="1" ht="13.5" thickBot="1" x14ac:dyDescent="0.25">
      <c r="A192" s="29"/>
      <c r="B192" s="29"/>
      <c r="C192" s="29"/>
      <c r="G192" s="30"/>
      <c r="H192" s="30"/>
      <c r="I192" s="30"/>
      <c r="J192" s="30"/>
      <c r="K192" s="30"/>
      <c r="L192" s="32"/>
      <c r="M192" s="30"/>
      <c r="N192" s="30"/>
      <c r="O192" s="30"/>
    </row>
    <row r="193" spans="1:23" x14ac:dyDescent="0.2">
      <c r="A193" s="25" t="s">
        <v>130</v>
      </c>
      <c r="B193" s="23"/>
      <c r="C193" s="23"/>
      <c r="G193" s="1"/>
    </row>
    <row r="194" spans="1:23" x14ac:dyDescent="0.2">
      <c r="B194" s="3" t="s">
        <v>458</v>
      </c>
      <c r="E194" s="1">
        <v>0</v>
      </c>
      <c r="G194" s="1"/>
      <c r="H194" s="1" t="s">
        <v>886</v>
      </c>
      <c r="I194" s="1" t="s">
        <v>887</v>
      </c>
      <c r="J194" s="1" t="s">
        <v>888</v>
      </c>
      <c r="K194" s="1" t="s">
        <v>889</v>
      </c>
      <c r="L194" s="1"/>
      <c r="M194" s="1" t="s">
        <v>163</v>
      </c>
      <c r="N194" s="1" t="s">
        <v>526</v>
      </c>
      <c r="O194" s="1" t="s">
        <v>527</v>
      </c>
    </row>
    <row r="195" spans="1:23" x14ac:dyDescent="0.2">
      <c r="B195" s="3" t="s">
        <v>893</v>
      </c>
      <c r="E195" s="1">
        <v>0</v>
      </c>
      <c r="G195" s="1" t="s">
        <v>885</v>
      </c>
      <c r="H195" s="19">
        <f>M195*N195*O195+M196*N196*O196</f>
        <v>0.70710678118654757</v>
      </c>
      <c r="I195" s="19">
        <f>M196*N195*O195-M195*N196*O196</f>
        <v>0.70710678118654746</v>
      </c>
      <c r="J195" s="19">
        <f>M195*N196*O195+M196*N195*O196</f>
        <v>0</v>
      </c>
      <c r="K195" s="19">
        <f>M195*N195*O196-M196*N196*O195</f>
        <v>0</v>
      </c>
      <c r="L195" s="20" t="s">
        <v>34</v>
      </c>
      <c r="M195" s="1">
        <f>COS(-0.5*E196*PI()/180)</f>
        <v>0.70710678118654757</v>
      </c>
      <c r="N195" s="1">
        <f>COS(0.5*E195*PI()/180)</f>
        <v>1</v>
      </c>
      <c r="O195" s="1">
        <f>COS(0.5*E194*PI()/180)</f>
        <v>1</v>
      </c>
    </row>
    <row r="196" spans="1:23" x14ac:dyDescent="0.2">
      <c r="B196" s="3" t="s">
        <v>128</v>
      </c>
      <c r="E196" s="1">
        <v>-90</v>
      </c>
      <c r="G196" s="1" t="s">
        <v>890</v>
      </c>
      <c r="H196" s="19">
        <f>H195*H101-I195*I101-J195*J101-K195*K101</f>
        <v>0.7660444431189779</v>
      </c>
      <c r="I196" s="19">
        <f>H195*I101+I195*H101+J195*K101-K195*J101</f>
        <v>-0.64278760968653936</v>
      </c>
      <c r="J196" s="19">
        <f>H195*J101-I195*K101+J195*H101+K195*I101</f>
        <v>0</v>
      </c>
      <c r="K196" s="19">
        <f>H195*K101+I195*J101-J195*I101+K195*H101</f>
        <v>0</v>
      </c>
      <c r="L196" s="20" t="s">
        <v>35</v>
      </c>
      <c r="M196" s="1">
        <f>SIN(-0.5*E196*PI()/180)</f>
        <v>0.70710678118654746</v>
      </c>
      <c r="N196" s="1">
        <f>SIN(0.5*E195*PI()/180)</f>
        <v>0</v>
      </c>
      <c r="O196" s="1">
        <f>SIN(0.5*E194*PI()/180)</f>
        <v>0</v>
      </c>
    </row>
    <row r="197" spans="1:23" x14ac:dyDescent="0.2">
      <c r="B197" s="3" t="s">
        <v>892</v>
      </c>
      <c r="F197" s="59"/>
      <c r="G197" s="1" t="s">
        <v>848</v>
      </c>
      <c r="H197" s="1">
        <f>J196</f>
        <v>0</v>
      </c>
      <c r="I197" s="1">
        <f>I196</f>
        <v>-0.64278760968653936</v>
      </c>
      <c r="J197" s="1">
        <f>K196</f>
        <v>0</v>
      </c>
      <c r="K197" s="1">
        <f>H196</f>
        <v>0.7660444431189779</v>
      </c>
      <c r="L197" s="20"/>
      <c r="M197" s="1"/>
      <c r="N197" s="1"/>
      <c r="O197" s="1"/>
      <c r="W197" s="59"/>
    </row>
    <row r="198" spans="1:23" hidden="1" x14ac:dyDescent="0.2">
      <c r="G198" s="1"/>
      <c r="H198" s="19" t="s">
        <v>36</v>
      </c>
      <c r="I198" s="19" t="s">
        <v>37</v>
      </c>
      <c r="J198" s="19" t="s">
        <v>38</v>
      </c>
      <c r="K198" s="19" t="s">
        <v>882</v>
      </c>
      <c r="L198" s="19" t="s">
        <v>881</v>
      </c>
      <c r="M198" s="19" t="s">
        <v>523</v>
      </c>
      <c r="N198" s="19"/>
      <c r="O198" s="19"/>
    </row>
    <row r="199" spans="1:23" hidden="1" x14ac:dyDescent="0.2">
      <c r="G199" s="1" t="s">
        <v>39</v>
      </c>
      <c r="H199" s="19">
        <f>-2*H196*I196+2*J196*K196</f>
        <v>0.98480775301220791</v>
      </c>
      <c r="I199" s="19">
        <f>2*H196*J196+2*I196*K196</f>
        <v>0</v>
      </c>
      <c r="J199" s="19">
        <f>H196*H196-I196*I196-J196*J196+K196*K196</f>
        <v>0.17364817766693008</v>
      </c>
      <c r="K199" s="19">
        <f>IF(ABS(I199)&lt;0.99999,ATAN(I199/SQRT(H199*H199+J199*J199)),SIGN(I199)*1000)</f>
        <v>0</v>
      </c>
      <c r="L199" s="19">
        <f>IF(ABS(I199)&lt;0.99999,180/PI()*ATAN(I199/SQRT(H199*H199+J199*J199)),SIGN(I199)*90)</f>
        <v>0</v>
      </c>
      <c r="M199" s="19">
        <f>IF(ABS(H199)&gt;0.00001,IF(H199&gt;0,90-180/PI()*ATAN(J199/H199),-90-180/PI()*ATAN(J199/H199)),-90+SIGN(J199)*90)</f>
        <v>80.000000000000014</v>
      </c>
      <c r="N199" s="19"/>
      <c r="O199" s="19"/>
    </row>
    <row r="200" spans="1:23" x14ac:dyDescent="0.2">
      <c r="A200" s="22" t="s">
        <v>877</v>
      </c>
      <c r="B200" s="24" t="s">
        <v>878</v>
      </c>
      <c r="C200" s="65" t="str">
        <f>CONCATENATE(TEXT(H197,"0.000000")," ",TEXT(I197,"0.000000")," ",TEXT(J197,"0.000000")," ",TEXT(K197,"0.000000"))</f>
        <v>0.000000 -0.642788 0.000000 0.766044</v>
      </c>
      <c r="D200" s="2"/>
      <c r="E200" s="2"/>
      <c r="F200" s="59"/>
      <c r="G200" s="16"/>
      <c r="H200" s="15"/>
      <c r="I200" s="2"/>
      <c r="J200" s="2"/>
      <c r="K200" s="2"/>
      <c r="W200" s="59"/>
    </row>
    <row r="201" spans="1:23" s="28" customFormat="1" ht="13.5" thickBot="1" x14ac:dyDescent="0.25"/>
    <row r="202" spans="1:23" x14ac:dyDescent="0.2">
      <c r="A202" s="25" t="s">
        <v>1039</v>
      </c>
      <c r="B202" s="23"/>
      <c r="C202" s="23"/>
      <c r="G202" s="1"/>
    </row>
    <row r="203" spans="1:23" x14ac:dyDescent="0.2">
      <c r="B203" s="3" t="s">
        <v>206</v>
      </c>
      <c r="E203" s="1">
        <f>-L118</f>
        <v>0</v>
      </c>
      <c r="G203" s="1"/>
      <c r="H203" s="1" t="s">
        <v>844</v>
      </c>
      <c r="I203" s="1" t="s">
        <v>845</v>
      </c>
      <c r="J203" s="1" t="s">
        <v>846</v>
      </c>
      <c r="K203" s="1" t="s">
        <v>847</v>
      </c>
      <c r="L203" s="1"/>
      <c r="M203" s="1" t="s">
        <v>163</v>
      </c>
      <c r="N203" s="1" t="s">
        <v>526</v>
      </c>
      <c r="O203" s="1" t="s">
        <v>527</v>
      </c>
    </row>
    <row r="204" spans="1:23" x14ac:dyDescent="0.2">
      <c r="B204" s="3" t="s">
        <v>742</v>
      </c>
      <c r="E204" s="1">
        <v>0</v>
      </c>
      <c r="G204" s="1" t="s">
        <v>856</v>
      </c>
      <c r="H204" s="19">
        <f>M204*N204*O204+M205*N205*O205</f>
        <v>1</v>
      </c>
      <c r="I204" s="19">
        <f>M205*N204*O204-M204*N205*O205</f>
        <v>0</v>
      </c>
      <c r="J204" s="19">
        <f>M204*N205*O204+M205*N204*O205</f>
        <v>0</v>
      </c>
      <c r="K204" s="19">
        <f>M204*N204*O205-M205*N205*O204</f>
        <v>0</v>
      </c>
      <c r="L204" s="20" t="s">
        <v>34</v>
      </c>
      <c r="M204" s="1">
        <f>COS(-0.5*E205*PI()/180)</f>
        <v>1</v>
      </c>
      <c r="N204" s="1">
        <f>COS(0.5*E204*PI()/180)</f>
        <v>1</v>
      </c>
      <c r="O204" s="1">
        <f>COS(0.5*E203*PI()/180)</f>
        <v>1</v>
      </c>
    </row>
    <row r="205" spans="1:23" x14ac:dyDescent="0.2">
      <c r="B205" s="3" t="s">
        <v>743</v>
      </c>
      <c r="E205" s="1">
        <v>0</v>
      </c>
      <c r="F205" s="59"/>
      <c r="G205" s="1" t="s">
        <v>857</v>
      </c>
      <c r="H205" s="1">
        <f>J204</f>
        <v>0</v>
      </c>
      <c r="I205" s="1">
        <f>I204</f>
        <v>0</v>
      </c>
      <c r="J205" s="1">
        <f>K204</f>
        <v>0</v>
      </c>
      <c r="K205" s="1">
        <f>H204</f>
        <v>1</v>
      </c>
      <c r="L205" s="20" t="s">
        <v>35</v>
      </c>
      <c r="M205" s="1">
        <f>SIN(-0.5*E205*PI()/180)</f>
        <v>0</v>
      </c>
      <c r="N205" s="1">
        <f>SIN(0.5*E204*PI()/180)</f>
        <v>0</v>
      </c>
      <c r="O205" s="1">
        <f>SIN(0.5*E203*PI()/180)</f>
        <v>0</v>
      </c>
      <c r="W205" s="59"/>
    </row>
    <row r="206" spans="1:23" hidden="1" x14ac:dyDescent="0.2">
      <c r="B206" s="3"/>
      <c r="E206" s="1"/>
      <c r="G206" s="1"/>
      <c r="H206" s="19" t="s">
        <v>36</v>
      </c>
      <c r="I206" s="19" t="s">
        <v>37</v>
      </c>
      <c r="J206" s="19" t="s">
        <v>38</v>
      </c>
      <c r="K206" s="19" t="s">
        <v>882</v>
      </c>
      <c r="L206" s="19" t="s">
        <v>881</v>
      </c>
      <c r="M206" s="19" t="s">
        <v>523</v>
      </c>
      <c r="N206" s="19"/>
      <c r="O206" s="19"/>
    </row>
    <row r="207" spans="1:23" hidden="1" x14ac:dyDescent="0.2">
      <c r="E207" s="1"/>
      <c r="G207" s="1" t="s">
        <v>39</v>
      </c>
      <c r="H207" s="19">
        <f>-2*H204*I204+2*J204*K204</f>
        <v>0</v>
      </c>
      <c r="I207" s="19">
        <f>2*H204*J204+2*I204*K204</f>
        <v>0</v>
      </c>
      <c r="J207" s="19">
        <f>H204*H204-I204*I204-J204*J204+K204*K204</f>
        <v>1</v>
      </c>
      <c r="K207" s="19">
        <f>IF(ABS(I207)&lt;0.99999,ATAN(I207/SQRT(H207*H207+J207*J207)),SIGN(I207)*1000)</f>
        <v>0</v>
      </c>
      <c r="L207" s="19">
        <f>IF(ABS(I207)&lt;0.99999,180/PI()*ATAN(I207/SQRT(H207*H207+J207*J207)),SIGN(I207)*90)</f>
        <v>0</v>
      </c>
      <c r="M207" s="19">
        <f>IF(ABS(H207)&gt;0.00001,IF(H207&gt;0,90-180/PI()*ATAN(J207/H207),-90-180/PI()*ATAN(J207/H207)),-90+SIGN(J207)*90)</f>
        <v>0</v>
      </c>
      <c r="N207" s="19"/>
      <c r="O207" s="19"/>
    </row>
    <row r="208" spans="1:23" hidden="1" x14ac:dyDescent="0.2">
      <c r="E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23" hidden="1" x14ac:dyDescent="0.2">
      <c r="E209" s="1">
        <v>0</v>
      </c>
      <c r="G209" s="1"/>
      <c r="H209" s="1" t="s">
        <v>850</v>
      </c>
      <c r="I209" s="1" t="s">
        <v>851</v>
      </c>
      <c r="J209" s="1" t="s">
        <v>852</v>
      </c>
      <c r="K209" s="1" t="s">
        <v>853</v>
      </c>
      <c r="L209" s="1"/>
      <c r="M209" s="1" t="s">
        <v>163</v>
      </c>
      <c r="N209" s="1" t="s">
        <v>526</v>
      </c>
      <c r="O209" s="1" t="s">
        <v>527</v>
      </c>
    </row>
    <row r="210" spans="1:23" hidden="1" x14ac:dyDescent="0.2">
      <c r="E210" s="1">
        <v>0</v>
      </c>
      <c r="G210" s="1" t="s">
        <v>855</v>
      </c>
      <c r="H210" s="19">
        <f>M210*N210*O210+M211*N211*O211</f>
        <v>1</v>
      </c>
      <c r="I210" s="19">
        <f>M211*N210*O210-M210*N211*O211</f>
        <v>0</v>
      </c>
      <c r="J210" s="19">
        <f>M210*N211*O210+M211*N210*O211</f>
        <v>0</v>
      </c>
      <c r="K210" s="19">
        <f>M210*N210*O211-M211*N211*O210</f>
        <v>0</v>
      </c>
      <c r="L210" s="20" t="s">
        <v>34</v>
      </c>
      <c r="M210" s="1">
        <f>COS(-0.5*E211*PI()/180)</f>
        <v>1</v>
      </c>
      <c r="N210" s="1">
        <f>COS(0.5*E210*PI()/180)</f>
        <v>1</v>
      </c>
      <c r="O210" s="1">
        <f>COS(0.5*E209*PI()/180)</f>
        <v>1</v>
      </c>
    </row>
    <row r="211" spans="1:23" hidden="1" x14ac:dyDescent="0.2">
      <c r="E211" s="1">
        <v>0</v>
      </c>
      <c r="G211" s="1" t="s">
        <v>854</v>
      </c>
      <c r="H211" s="19">
        <f>H210*H204-I210*I204-J210*J204-K210*K204</f>
        <v>1</v>
      </c>
      <c r="I211" s="19">
        <f>H210*I204+I210*H204+J210*K204-K210*J204</f>
        <v>0</v>
      </c>
      <c r="J211" s="19">
        <f>H210*J204-I210*K204+J210*H204+K210*I204</f>
        <v>0</v>
      </c>
      <c r="K211" s="19">
        <f>H210*K204+I210*J204-J210*I204+K210*H204</f>
        <v>0</v>
      </c>
      <c r="L211" s="20" t="s">
        <v>35</v>
      </c>
      <c r="M211" s="1">
        <f>SIN(-0.5*E211*PI()/180)</f>
        <v>0</v>
      </c>
      <c r="N211" s="1">
        <f>SIN(0.5*E210*PI()/180)</f>
        <v>0</v>
      </c>
      <c r="O211" s="1">
        <f>SIN(0.5*E209*PI()/180)</f>
        <v>0</v>
      </c>
    </row>
    <row r="212" spans="1:23" hidden="1" x14ac:dyDescent="0.2">
      <c r="E212" s="1"/>
      <c r="G212" s="1" t="s">
        <v>848</v>
      </c>
      <c r="H212" s="1">
        <f>J211</f>
        <v>0</v>
      </c>
      <c r="I212" s="1">
        <f>I211</f>
        <v>0</v>
      </c>
      <c r="J212" s="1">
        <f>K211</f>
        <v>0</v>
      </c>
      <c r="K212" s="1">
        <f>H211</f>
        <v>1</v>
      </c>
      <c r="L212" s="20"/>
      <c r="M212" s="1"/>
      <c r="N212" s="1"/>
      <c r="O212" s="1"/>
    </row>
    <row r="213" spans="1:23" hidden="1" x14ac:dyDescent="0.2">
      <c r="E213" s="1"/>
      <c r="G213" s="1"/>
      <c r="H213" s="19" t="s">
        <v>36</v>
      </c>
      <c r="I213" s="19" t="s">
        <v>37</v>
      </c>
      <c r="J213" s="19" t="s">
        <v>38</v>
      </c>
      <c r="K213" s="19" t="s">
        <v>882</v>
      </c>
      <c r="L213" s="19" t="s">
        <v>881</v>
      </c>
      <c r="M213" s="19" t="s">
        <v>523</v>
      </c>
      <c r="N213" s="19"/>
      <c r="O213" s="19"/>
    </row>
    <row r="214" spans="1:23" hidden="1" x14ac:dyDescent="0.2">
      <c r="E214" s="1"/>
      <c r="G214" s="1" t="s">
        <v>39</v>
      </c>
      <c r="H214" s="19">
        <f>-2*H211*I211+2*J211*K211</f>
        <v>0</v>
      </c>
      <c r="I214" s="19">
        <f>2*H211*J211+2*I211*K211</f>
        <v>0</v>
      </c>
      <c r="J214" s="19">
        <f>H211*H211-I211*I211-J211*J211+K211*K211</f>
        <v>1</v>
      </c>
      <c r="K214" s="19">
        <f>IF(ABS(I214)&lt;0.99999,ATAN(I214/SQRT(H214*H214+J214*J214)),SIGN(I214)*1000)</f>
        <v>0</v>
      </c>
      <c r="L214" s="19">
        <f>IF(ABS(I214)&lt;0.99999,180/PI()*ATAN(I214/SQRT(H214*H214+J214*J214)),SIGN(I214)*90)</f>
        <v>0</v>
      </c>
      <c r="M214" s="19">
        <f>IF(ABS(H214)&gt;0.00001,IF(H214&gt;0,90-180/PI()*ATAN(J214/H214),-90-180/PI()*ATAN(J214/H214)),-90+SIGN(J214)*90)</f>
        <v>0</v>
      </c>
      <c r="N214" s="19"/>
      <c r="O214" s="19"/>
    </row>
    <row r="215" spans="1:23" hidden="1" x14ac:dyDescent="0.2">
      <c r="E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23" hidden="1" x14ac:dyDescent="0.2">
      <c r="E216" s="1">
        <v>0</v>
      </c>
      <c r="G216" s="1"/>
      <c r="H216" s="1" t="s">
        <v>860</v>
      </c>
      <c r="I216" s="1" t="s">
        <v>861</v>
      </c>
      <c r="J216" s="1" t="s">
        <v>862</v>
      </c>
      <c r="K216" s="1" t="s">
        <v>863</v>
      </c>
      <c r="L216" s="1"/>
      <c r="M216" s="1" t="s">
        <v>163</v>
      </c>
      <c r="N216" s="1" t="s">
        <v>526</v>
      </c>
      <c r="O216" s="1" t="s">
        <v>527</v>
      </c>
    </row>
    <row r="217" spans="1:23" hidden="1" x14ac:dyDescent="0.2">
      <c r="E217" s="1">
        <v>0</v>
      </c>
      <c r="G217" s="1" t="s">
        <v>864</v>
      </c>
      <c r="H217" s="19">
        <f>M217*N217*O217+M218*N218*O218</f>
        <v>-0.64278760968653936</v>
      </c>
      <c r="I217" s="19">
        <f>M218*N217*O217-M217*N218*O218</f>
        <v>-0.76604444311897801</v>
      </c>
      <c r="J217" s="19">
        <f>M217*N218*O217+M218*N217*O218</f>
        <v>0</v>
      </c>
      <c r="K217" s="19">
        <f>M217*N217*O218-M218*N218*O217</f>
        <v>0</v>
      </c>
      <c r="L217" s="20" t="s">
        <v>34</v>
      </c>
      <c r="M217" s="1">
        <f>COS(-0.5*E218*PI()/180)</f>
        <v>-0.64278760968653936</v>
      </c>
      <c r="N217" s="1">
        <f>COS(0.5*E217*PI()/180)</f>
        <v>1</v>
      </c>
      <c r="O217" s="1">
        <f>COS(0.5*E216*PI()/180)</f>
        <v>1</v>
      </c>
    </row>
    <row r="218" spans="1:23" hidden="1" x14ac:dyDescent="0.2">
      <c r="E218" s="1">
        <f>M104+90</f>
        <v>260</v>
      </c>
      <c r="G218" s="1" t="s">
        <v>865</v>
      </c>
      <c r="H218" s="19">
        <f>H217*H211-I217*I211-J217*J211-K217*K211</f>
        <v>-0.64278760968653936</v>
      </c>
      <c r="I218" s="19">
        <f>H217*I211+I217*H211+J217*K211-K217*J211</f>
        <v>-0.76604444311897801</v>
      </c>
      <c r="J218" s="19">
        <f>H217*J211-I217*K211+J217*H211+K217*I211</f>
        <v>0</v>
      </c>
      <c r="K218" s="19">
        <f>H217*K211+I217*J211-J217*I211+K217*H211</f>
        <v>0</v>
      </c>
      <c r="L218" s="20" t="s">
        <v>35</v>
      </c>
      <c r="M218" s="1">
        <f>SIN(-0.5*E218*PI()/180)</f>
        <v>-0.76604444311897801</v>
      </c>
      <c r="N218" s="1">
        <f>SIN(0.5*E217*PI()/180)</f>
        <v>0</v>
      </c>
      <c r="O218" s="1">
        <f>SIN(0.5*E216*PI()/180)</f>
        <v>0</v>
      </c>
    </row>
    <row r="219" spans="1:23" hidden="1" x14ac:dyDescent="0.2">
      <c r="G219" s="1" t="s">
        <v>848</v>
      </c>
      <c r="H219" s="1">
        <f>J218</f>
        <v>0</v>
      </c>
      <c r="I219" s="1">
        <f>I218</f>
        <v>-0.76604444311897801</v>
      </c>
      <c r="J219" s="1">
        <f>K218</f>
        <v>0</v>
      </c>
      <c r="K219" s="1">
        <f>H218</f>
        <v>-0.64278760968653936</v>
      </c>
      <c r="L219" s="20"/>
      <c r="M219" s="1"/>
      <c r="N219" s="1"/>
      <c r="O219" s="1"/>
    </row>
    <row r="220" spans="1:23" hidden="1" x14ac:dyDescent="0.2">
      <c r="G220" s="1"/>
      <c r="H220" s="19" t="s">
        <v>36</v>
      </c>
      <c r="I220" s="19" t="s">
        <v>37</v>
      </c>
      <c r="J220" s="19" t="s">
        <v>38</v>
      </c>
      <c r="K220" s="19" t="s">
        <v>882</v>
      </c>
      <c r="L220" s="19" t="s">
        <v>881</v>
      </c>
      <c r="M220" s="19" t="s">
        <v>523</v>
      </c>
      <c r="N220" s="19"/>
      <c r="O220" s="19"/>
    </row>
    <row r="221" spans="1:23" hidden="1" x14ac:dyDescent="0.2">
      <c r="G221" s="1" t="s">
        <v>39</v>
      </c>
      <c r="H221" s="19">
        <f>-2*H218*I218+2*J218*K218</f>
        <v>-0.98480775301220813</v>
      </c>
      <c r="I221" s="19">
        <f>2*H218*J218+2*I218*K218</f>
        <v>0</v>
      </c>
      <c r="J221" s="19">
        <f>H218*H218-I218*I218-J218*J218+K218*K218</f>
        <v>-0.1736481776669303</v>
      </c>
      <c r="K221" s="19">
        <f>IF(ABS(I221)&lt;0.99999,ATAN(I221/SQRT(H221*H221+J221*J221)),SIGN(I221)*1000)</f>
        <v>0</v>
      </c>
      <c r="L221" s="19">
        <f>IF(ABS(I221)&lt;0.99999,180/PI()*ATAN(I221/SQRT(H221*H221+J221*J221)),SIGN(I221)*90)</f>
        <v>0</v>
      </c>
      <c r="M221" s="19">
        <f>IF(ABS(H221)&gt;0.00001,IF(H221&gt;0,90-180/PI()*ATAN(J221/H221),-90-180/PI()*ATAN(J221/H221)),-90+SIGN(J221)*90)</f>
        <v>-100</v>
      </c>
      <c r="N221" s="19"/>
      <c r="O221" s="19"/>
    </row>
    <row r="222" spans="1:23" x14ac:dyDescent="0.2">
      <c r="A222" s="22" t="s">
        <v>877</v>
      </c>
      <c r="B222" s="24" t="s">
        <v>878</v>
      </c>
      <c r="C222" s="65" t="str">
        <f>CONCATENATE(TEXT(H219,"0.000000")," ",TEXT(I219,"0.000000")," ",TEXT(J219,"0.000000")," ",TEXT(K219,"0.000000"))</f>
        <v>0.000000 -0.766044 0.000000 -0.642788</v>
      </c>
      <c r="D222" s="2"/>
      <c r="E222" s="2"/>
      <c r="F222" s="59"/>
      <c r="G222" s="13"/>
      <c r="H222" s="15"/>
      <c r="I222" s="2"/>
      <c r="J222" s="2"/>
      <c r="K222" s="2"/>
      <c r="W222" s="59"/>
    </row>
    <row r="223" spans="1:23" s="28" customFormat="1" ht="13.5" thickBot="1" x14ac:dyDescent="0.25"/>
    <row r="224" spans="1:23" x14ac:dyDescent="0.2">
      <c r="A224" s="25" t="s">
        <v>1038</v>
      </c>
      <c r="B224" s="23"/>
      <c r="C224" s="23"/>
      <c r="G224" s="1"/>
    </row>
    <row r="225" spans="2:23" x14ac:dyDescent="0.2">
      <c r="B225" s="3" t="s">
        <v>458</v>
      </c>
      <c r="E225" s="1">
        <f>L118</f>
        <v>0</v>
      </c>
      <c r="G225" s="1"/>
      <c r="H225" s="1" t="s">
        <v>844</v>
      </c>
      <c r="I225" s="1" t="s">
        <v>845</v>
      </c>
      <c r="J225" s="1" t="s">
        <v>846</v>
      </c>
      <c r="K225" s="1" t="s">
        <v>847</v>
      </c>
      <c r="L225" s="1"/>
      <c r="M225" s="1" t="s">
        <v>163</v>
      </c>
      <c r="N225" s="1" t="s">
        <v>526</v>
      </c>
      <c r="O225" s="1" t="s">
        <v>527</v>
      </c>
    </row>
    <row r="226" spans="2:23" x14ac:dyDescent="0.2">
      <c r="B226" s="3" t="s">
        <v>742</v>
      </c>
      <c r="E226" s="1">
        <v>0</v>
      </c>
      <c r="G226" s="1" t="s">
        <v>856</v>
      </c>
      <c r="H226" s="19">
        <f>M226*N226*O226+M227*N227*O227</f>
        <v>1</v>
      </c>
      <c r="I226" s="19">
        <f>M227*N226*O226-M226*N227*O227</f>
        <v>0</v>
      </c>
      <c r="J226" s="19">
        <f>M226*N227*O226+M227*N226*O227</f>
        <v>0</v>
      </c>
      <c r="K226" s="19">
        <f>M226*N226*O227-M227*N227*O226</f>
        <v>0</v>
      </c>
      <c r="L226" s="20" t="s">
        <v>34</v>
      </c>
      <c r="M226" s="1">
        <f>COS(-0.5*E227*PI()/180)</f>
        <v>1</v>
      </c>
      <c r="N226" s="1">
        <f>COS(0.5*E226*PI()/180)</f>
        <v>1</v>
      </c>
      <c r="O226" s="1">
        <f>COS(0.5*E225*PI()/180)</f>
        <v>1</v>
      </c>
    </row>
    <row r="227" spans="2:23" x14ac:dyDescent="0.2">
      <c r="B227" s="3" t="s">
        <v>743</v>
      </c>
      <c r="E227" s="1">
        <v>0</v>
      </c>
      <c r="F227" s="59"/>
      <c r="G227" s="1" t="s">
        <v>857</v>
      </c>
      <c r="H227" s="1">
        <f>J226</f>
        <v>0</v>
      </c>
      <c r="I227" s="1">
        <f>I226</f>
        <v>0</v>
      </c>
      <c r="J227" s="1">
        <f>K226</f>
        <v>0</v>
      </c>
      <c r="K227" s="1">
        <f>H226</f>
        <v>1</v>
      </c>
      <c r="L227" s="20" t="s">
        <v>35</v>
      </c>
      <c r="M227" s="1">
        <f>SIN(-0.5*E227*PI()/180)</f>
        <v>0</v>
      </c>
      <c r="N227" s="1">
        <f>SIN(0.5*E226*PI()/180)</f>
        <v>0</v>
      </c>
      <c r="O227" s="1">
        <f>SIN(0.5*E225*PI()/180)</f>
        <v>0</v>
      </c>
      <c r="W227" s="59"/>
    </row>
    <row r="228" spans="2:23" hidden="1" x14ac:dyDescent="0.2">
      <c r="B228" s="3"/>
      <c r="E228" s="1"/>
      <c r="G228" s="1"/>
      <c r="H228" s="19" t="s">
        <v>36</v>
      </c>
      <c r="I228" s="19" t="s">
        <v>37</v>
      </c>
      <c r="J228" s="19" t="s">
        <v>38</v>
      </c>
      <c r="K228" s="19" t="s">
        <v>882</v>
      </c>
      <c r="L228" s="19" t="s">
        <v>881</v>
      </c>
      <c r="M228" s="19" t="s">
        <v>523</v>
      </c>
      <c r="N228" s="19"/>
      <c r="O228" s="19"/>
    </row>
    <row r="229" spans="2:23" hidden="1" x14ac:dyDescent="0.2">
      <c r="E229" s="1"/>
      <c r="G229" s="1" t="s">
        <v>39</v>
      </c>
      <c r="H229" s="19">
        <f>-2*H226*I226+2*J226*K226</f>
        <v>0</v>
      </c>
      <c r="I229" s="19">
        <f>2*H226*J226+2*I226*K226</f>
        <v>0</v>
      </c>
      <c r="J229" s="19">
        <f>H226*H226-I226*I226-J226*J226+K226*K226</f>
        <v>1</v>
      </c>
      <c r="K229" s="19">
        <f>IF(ABS(I229)&lt;0.99999,ATAN(I229/SQRT(H229*H229+J229*J229)),SIGN(I229)*1000)</f>
        <v>0</v>
      </c>
      <c r="L229" s="19">
        <f>IF(ABS(I229)&lt;0.99999,180/PI()*ATAN(I229/SQRT(H229*H229+J229*J229)),SIGN(I229)*90)</f>
        <v>0</v>
      </c>
      <c r="M229" s="19">
        <f>IF(ABS(H229)&gt;0.00001,IF(H229&gt;0,90-180/PI()*ATAN(J229/H229),-90-180/PI()*ATAN(J229/H229)),-90+SIGN(J229)*90)</f>
        <v>0</v>
      </c>
      <c r="N229" s="19"/>
      <c r="O229" s="19"/>
    </row>
    <row r="230" spans="2:23" hidden="1" x14ac:dyDescent="0.2">
      <c r="E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2:23" hidden="1" x14ac:dyDescent="0.2">
      <c r="E231" s="1">
        <v>0</v>
      </c>
      <c r="G231" s="1"/>
      <c r="H231" s="1" t="s">
        <v>850</v>
      </c>
      <c r="I231" s="1" t="s">
        <v>851</v>
      </c>
      <c r="J231" s="1" t="s">
        <v>852</v>
      </c>
      <c r="K231" s="1" t="s">
        <v>853</v>
      </c>
      <c r="L231" s="1"/>
      <c r="M231" s="1" t="s">
        <v>163</v>
      </c>
      <c r="N231" s="1" t="s">
        <v>526</v>
      </c>
      <c r="O231" s="1" t="s">
        <v>527</v>
      </c>
    </row>
    <row r="232" spans="2:23" s="45" customFormat="1" hidden="1" x14ac:dyDescent="0.2">
      <c r="E232" s="51">
        <v>0</v>
      </c>
      <c r="G232" s="51" t="s">
        <v>855</v>
      </c>
      <c r="H232" s="135">
        <f>M232*N232*O232+M233*N233*O233</f>
        <v>1</v>
      </c>
      <c r="I232" s="135">
        <f>M233*N232*O232-M232*N233*O233</f>
        <v>0</v>
      </c>
      <c r="J232" s="135">
        <f>M232*N233*O232+M233*N232*O233</f>
        <v>0</v>
      </c>
      <c r="K232" s="135">
        <f>M232*N232*O233-M233*N233*O232</f>
        <v>0</v>
      </c>
      <c r="L232" s="136" t="s">
        <v>34</v>
      </c>
      <c r="M232" s="51">
        <f>COS(-0.5*E233*PI()/180)</f>
        <v>1</v>
      </c>
      <c r="N232" s="51">
        <f>COS(0.5*E232*PI()/180)</f>
        <v>1</v>
      </c>
      <c r="O232" s="51">
        <f>COS(0.5*E231*PI()/180)</f>
        <v>1</v>
      </c>
    </row>
    <row r="233" spans="2:23" hidden="1" x14ac:dyDescent="0.2">
      <c r="E233" s="1">
        <v>0</v>
      </c>
      <c r="G233" s="1" t="s">
        <v>854</v>
      </c>
      <c r="H233" s="19">
        <f>H232*H226-I232*I226-J232*J226-K232*K226</f>
        <v>1</v>
      </c>
      <c r="I233" s="19">
        <f>H232*I226+I232*H226+J232*K226-K232*J226</f>
        <v>0</v>
      </c>
      <c r="J233" s="19">
        <f>H232*J226-I232*K226+J232*H226+K232*I226</f>
        <v>0</v>
      </c>
      <c r="K233" s="19">
        <f>H232*K226+I232*J226-J232*I226+K232*H226</f>
        <v>0</v>
      </c>
      <c r="L233" s="20" t="s">
        <v>35</v>
      </c>
      <c r="M233" s="1">
        <f>SIN(-0.5*E233*PI()/180)</f>
        <v>0</v>
      </c>
      <c r="N233" s="1">
        <f>SIN(0.5*E232*PI()/180)</f>
        <v>0</v>
      </c>
      <c r="O233" s="1">
        <f>SIN(0.5*E231*PI()/180)</f>
        <v>0</v>
      </c>
    </row>
    <row r="234" spans="2:23" hidden="1" x14ac:dyDescent="0.2">
      <c r="E234" s="1"/>
      <c r="G234" s="1" t="s">
        <v>848</v>
      </c>
      <c r="H234" s="1">
        <f>J233</f>
        <v>0</v>
      </c>
      <c r="I234" s="1">
        <f>I233</f>
        <v>0</v>
      </c>
      <c r="J234" s="1">
        <f>K233</f>
        <v>0</v>
      </c>
      <c r="K234" s="1">
        <f>H233</f>
        <v>1</v>
      </c>
      <c r="L234" s="20"/>
      <c r="M234" s="1"/>
      <c r="N234" s="1"/>
      <c r="O234" s="1"/>
    </row>
    <row r="235" spans="2:23" hidden="1" x14ac:dyDescent="0.2">
      <c r="E235" s="1"/>
      <c r="G235" s="1"/>
      <c r="H235" s="19" t="s">
        <v>36</v>
      </c>
      <c r="I235" s="19" t="s">
        <v>37</v>
      </c>
      <c r="J235" s="19" t="s">
        <v>38</v>
      </c>
      <c r="K235" s="19" t="s">
        <v>882</v>
      </c>
      <c r="L235" s="19" t="s">
        <v>881</v>
      </c>
      <c r="M235" s="19" t="s">
        <v>523</v>
      </c>
      <c r="N235" s="19"/>
      <c r="O235" s="19"/>
    </row>
    <row r="236" spans="2:23" hidden="1" x14ac:dyDescent="0.2">
      <c r="E236" s="1"/>
      <c r="G236" s="1" t="s">
        <v>39</v>
      </c>
      <c r="H236" s="19">
        <f>-2*H233*I233+2*J233*K233</f>
        <v>0</v>
      </c>
      <c r="I236" s="19">
        <f>2*H233*J233+2*I233*K233</f>
        <v>0</v>
      </c>
      <c r="J236" s="19">
        <f>H233*H233-I233*I233-J233*J233+K233*K233</f>
        <v>1</v>
      </c>
      <c r="K236" s="19">
        <f>IF(ABS(I236)&lt;0.99999,ATAN(I236/SQRT(H236*H236+J236*J236)),SIGN(I236)*1000)</f>
        <v>0</v>
      </c>
      <c r="L236" s="19">
        <f>IF(ABS(I236)&lt;0.99999,180/PI()*ATAN(I236/SQRT(H236*H236+J236*J236)),SIGN(I236)*90)</f>
        <v>0</v>
      </c>
      <c r="M236" s="19">
        <f>IF(ABS(H236)&gt;0.00001,IF(H236&gt;0,90-180/PI()*ATAN(J236/H236),-90-180/PI()*ATAN(J236/H236)),-90+SIGN(J236)*90)</f>
        <v>0</v>
      </c>
      <c r="N236" s="19"/>
      <c r="O236" s="19"/>
    </row>
    <row r="237" spans="2:23" hidden="1" x14ac:dyDescent="0.2">
      <c r="E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2:23" hidden="1" x14ac:dyDescent="0.2">
      <c r="E238" s="1">
        <v>0</v>
      </c>
      <c r="G238" s="1"/>
      <c r="H238" s="1" t="s">
        <v>860</v>
      </c>
      <c r="I238" s="1" t="s">
        <v>861</v>
      </c>
      <c r="J238" s="1" t="s">
        <v>862</v>
      </c>
      <c r="K238" s="1" t="s">
        <v>863</v>
      </c>
      <c r="L238" s="1"/>
      <c r="M238" s="1" t="s">
        <v>163</v>
      </c>
      <c r="N238" s="1" t="s">
        <v>526</v>
      </c>
      <c r="O238" s="1" t="s">
        <v>527</v>
      </c>
    </row>
    <row r="239" spans="2:23" hidden="1" x14ac:dyDescent="0.2">
      <c r="E239" s="1">
        <v>0</v>
      </c>
      <c r="G239" s="1" t="s">
        <v>864</v>
      </c>
      <c r="H239" s="19">
        <f>M239*N239*O239+M240*N240*O240</f>
        <v>0.76604444311897801</v>
      </c>
      <c r="I239" s="19">
        <f>M240*N239*O239-M239*N240*O240</f>
        <v>-0.64278760968653925</v>
      </c>
      <c r="J239" s="19">
        <f>M239*N240*O239+M240*N239*O240</f>
        <v>0</v>
      </c>
      <c r="K239" s="19">
        <f>M239*N239*O240-M240*N240*O239</f>
        <v>0</v>
      </c>
      <c r="L239" s="20" t="s">
        <v>34</v>
      </c>
      <c r="M239" s="1">
        <f>COS(-0.5*E240*PI()/180)</f>
        <v>0.76604444311897801</v>
      </c>
      <c r="N239" s="1">
        <f>COS(0.5*E239*PI()/180)</f>
        <v>1</v>
      </c>
      <c r="O239" s="1">
        <f>COS(0.5*E238*PI()/180)</f>
        <v>1</v>
      </c>
    </row>
    <row r="240" spans="2:23" hidden="1" x14ac:dyDescent="0.2">
      <c r="E240" s="1">
        <f>M104-90</f>
        <v>80</v>
      </c>
      <c r="G240" s="1" t="s">
        <v>865</v>
      </c>
      <c r="H240" s="19">
        <f>H239*H233-I239*I233-J239*J233-K239*K233</f>
        <v>0.76604444311897801</v>
      </c>
      <c r="I240" s="19">
        <f>H239*I233+I239*H233+J239*K233-K239*J233</f>
        <v>-0.64278760968653925</v>
      </c>
      <c r="J240" s="19">
        <f>H239*J233-I239*K233+J239*H233+K239*I233</f>
        <v>0</v>
      </c>
      <c r="K240" s="19">
        <f>H239*K233+I239*J233-J239*I233+K239*H233</f>
        <v>0</v>
      </c>
      <c r="L240" s="20" t="s">
        <v>35</v>
      </c>
      <c r="M240" s="1">
        <f>SIN(-0.5*E240*PI()/180)</f>
        <v>-0.64278760968653925</v>
      </c>
      <c r="N240" s="1">
        <f>SIN(0.5*E239*PI()/180)</f>
        <v>0</v>
      </c>
      <c r="O240" s="1">
        <f>SIN(0.5*E238*PI()/180)</f>
        <v>0</v>
      </c>
    </row>
    <row r="241" spans="1:23" hidden="1" x14ac:dyDescent="0.2">
      <c r="G241" s="1" t="s">
        <v>848</v>
      </c>
      <c r="H241" s="1">
        <f>J240</f>
        <v>0</v>
      </c>
      <c r="I241" s="1">
        <f>I240</f>
        <v>-0.64278760968653925</v>
      </c>
      <c r="J241" s="1">
        <f>K240</f>
        <v>0</v>
      </c>
      <c r="K241" s="1">
        <f>H240</f>
        <v>0.76604444311897801</v>
      </c>
      <c r="L241" s="20"/>
      <c r="M241" s="1"/>
      <c r="N241" s="1"/>
      <c r="O241" s="1"/>
    </row>
    <row r="242" spans="1:23" hidden="1" x14ac:dyDescent="0.2">
      <c r="G242" s="1"/>
      <c r="H242" s="19" t="s">
        <v>36</v>
      </c>
      <c r="I242" s="19" t="s">
        <v>37</v>
      </c>
      <c r="J242" s="19" t="s">
        <v>38</v>
      </c>
      <c r="K242" s="19" t="s">
        <v>882</v>
      </c>
      <c r="L242" s="19" t="s">
        <v>881</v>
      </c>
      <c r="M242" s="19" t="s">
        <v>523</v>
      </c>
      <c r="N242" s="19"/>
      <c r="O242" s="19"/>
    </row>
    <row r="243" spans="1:23" hidden="1" x14ac:dyDescent="0.2">
      <c r="G243" s="1" t="s">
        <v>39</v>
      </c>
      <c r="H243" s="19">
        <f>-2*H240*I240+2*J240*K240</f>
        <v>0.98480775301220791</v>
      </c>
      <c r="I243" s="19">
        <f>2*H240*J240+2*I240*K240</f>
        <v>0</v>
      </c>
      <c r="J243" s="19">
        <f>H240*H240-I240*I240-J240*J240+K240*K240</f>
        <v>0.17364817766693041</v>
      </c>
      <c r="K243" s="19">
        <f>IF(ABS(I243)&lt;0.99999,ATAN(I243/SQRT(H243*H243+J243*J243)),SIGN(I243)*1000)</f>
        <v>0</v>
      </c>
      <c r="L243" s="19">
        <f>IF(ABS(I243)&lt;0.99999,180/PI()*ATAN(I243/SQRT(H243*H243+J243*J243)),SIGN(I243)*90)</f>
        <v>0</v>
      </c>
      <c r="M243" s="19">
        <f>IF(ABS(H243)&gt;0.00001,IF(H243&gt;0,90-180/PI()*ATAN(J243/H243),-90-180/PI()*ATAN(J243/H243)),-90+SIGN(J243)*90)</f>
        <v>80</v>
      </c>
      <c r="N243" s="19"/>
      <c r="O243" s="19"/>
    </row>
    <row r="244" spans="1:23" x14ac:dyDescent="0.2">
      <c r="A244" s="22" t="s">
        <v>877</v>
      </c>
      <c r="B244" s="24" t="s">
        <v>878</v>
      </c>
      <c r="C244" s="65" t="str">
        <f>CONCATENATE(TEXT(H241,"0.000000")," ",TEXT(I241,"0.000000")," ",TEXT(J241,"0.000000")," ",TEXT(K241,"0.000000"))</f>
        <v>0.000000 -0.642788 0.000000 0.766044</v>
      </c>
      <c r="D244" s="2"/>
      <c r="E244" s="2"/>
      <c r="F244" s="59"/>
      <c r="G244" s="13"/>
      <c r="H244" s="15"/>
      <c r="I244" s="2"/>
      <c r="J244" s="2"/>
      <c r="K244" s="2"/>
      <c r="W244" s="59"/>
    </row>
    <row r="245" spans="1:23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workbookViewId="0">
      <selection activeCell="A2" sqref="A2"/>
    </sheetView>
  </sheetViews>
  <sheetFormatPr defaultRowHeight="12.75" x14ac:dyDescent="0.2"/>
  <cols>
    <col min="12" max="16" width="0" hidden="1" customWidth="1"/>
  </cols>
  <sheetData>
    <row r="1" spans="1:10" s="14" customFormat="1" x14ac:dyDescent="0.2">
      <c r="A1" s="14" t="s">
        <v>343</v>
      </c>
    </row>
    <row r="3" spans="1:10" x14ac:dyDescent="0.2">
      <c r="A3" s="33" t="s">
        <v>268</v>
      </c>
    </row>
    <row r="4" spans="1:10" x14ac:dyDescent="0.2">
      <c r="B4" t="s">
        <v>269</v>
      </c>
    </row>
    <row r="5" spans="1:10" x14ac:dyDescent="0.2">
      <c r="B5" t="s">
        <v>332</v>
      </c>
    </row>
    <row r="6" spans="1:10" x14ac:dyDescent="0.2">
      <c r="B6" t="s">
        <v>1149</v>
      </c>
    </row>
    <row r="7" spans="1:10" x14ac:dyDescent="0.2">
      <c r="B7" t="s">
        <v>1150</v>
      </c>
    </row>
    <row r="8" spans="1:10" x14ac:dyDescent="0.2">
      <c r="B8" t="s">
        <v>1151</v>
      </c>
    </row>
    <row r="9" spans="1:10" x14ac:dyDescent="0.2">
      <c r="B9" t="s">
        <v>1152</v>
      </c>
    </row>
    <row r="11" spans="1:10" x14ac:dyDescent="0.2">
      <c r="A11" t="s">
        <v>270</v>
      </c>
    </row>
    <row r="12" spans="1:10" s="28" customFormat="1" ht="13.5" thickBot="1" x14ac:dyDescent="0.25"/>
    <row r="13" spans="1:10" s="27" customFormat="1" x14ac:dyDescent="0.2">
      <c r="A13" s="8" t="s">
        <v>544</v>
      </c>
      <c r="B13" s="8"/>
      <c r="C13" s="8"/>
      <c r="D13" s="8"/>
      <c r="E13" s="8"/>
      <c r="F13" s="8"/>
    </row>
    <row r="15" spans="1:10" x14ac:dyDescent="0.2">
      <c r="A15" s="87" t="s">
        <v>275</v>
      </c>
      <c r="B15" s="87"/>
      <c r="C15" s="87"/>
      <c r="D15" s="87"/>
      <c r="E15" s="87"/>
      <c r="F15" s="87"/>
      <c r="G15" s="87"/>
      <c r="H15" s="87"/>
      <c r="I15" s="87"/>
      <c r="J15" s="87"/>
    </row>
    <row r="16" spans="1:10" x14ac:dyDescent="0.2">
      <c r="B16" t="s">
        <v>271</v>
      </c>
    </row>
    <row r="17" spans="1:14" x14ac:dyDescent="0.2">
      <c r="B17" t="s">
        <v>281</v>
      </c>
    </row>
    <row r="18" spans="1:14" x14ac:dyDescent="0.2">
      <c r="B18" t="s">
        <v>279</v>
      </c>
    </row>
    <row r="19" spans="1:14" x14ac:dyDescent="0.2">
      <c r="B19" t="s">
        <v>280</v>
      </c>
    </row>
    <row r="20" spans="1:14" x14ac:dyDescent="0.2">
      <c r="B20" t="s">
        <v>282</v>
      </c>
    </row>
    <row r="22" spans="1:14" x14ac:dyDescent="0.2">
      <c r="A22" s="87" t="s">
        <v>276</v>
      </c>
      <c r="B22" s="87"/>
      <c r="C22" s="87"/>
      <c r="D22" s="87"/>
      <c r="E22" s="87"/>
      <c r="F22" s="87"/>
      <c r="G22" t="s">
        <v>698</v>
      </c>
    </row>
    <row r="23" spans="1:14" x14ac:dyDescent="0.2">
      <c r="A23" s="42"/>
      <c r="B23" s="90" t="s">
        <v>272</v>
      </c>
      <c r="C23" s="90"/>
      <c r="D23" s="90"/>
      <c r="E23" s="90"/>
      <c r="F23" s="90"/>
      <c r="G23" s="90"/>
      <c r="H23" s="90"/>
      <c r="I23" s="151" t="s">
        <v>1296</v>
      </c>
      <c r="L23" s="19">
        <f>VALUE(MID(I23,1,L24-1))</f>
        <v>-25.73</v>
      </c>
      <c r="M23" s="19">
        <f>VALUE(MID(I23,L24+1,M24-L24-1))</f>
        <v>-47.561</v>
      </c>
      <c r="N23" s="19">
        <f>VALUE(MID(I23,M24+1,N24-M24))</f>
        <v>-850.54600000000005</v>
      </c>
    </row>
    <row r="24" spans="1:14" x14ac:dyDescent="0.2">
      <c r="A24" s="42"/>
      <c r="C24" t="s">
        <v>546</v>
      </c>
      <c r="I24" s="2"/>
      <c r="L24" s="1">
        <f>SEARCH(" ",I23,1)</f>
        <v>7</v>
      </c>
      <c r="M24" s="1">
        <f>SEARCH(" ",I23,L24+1)</f>
        <v>15</v>
      </c>
      <c r="N24" s="1">
        <f>LEN(I23)</f>
        <v>23</v>
      </c>
    </row>
    <row r="25" spans="1:14" x14ac:dyDescent="0.2">
      <c r="A25" s="42"/>
      <c r="C25" t="s">
        <v>11</v>
      </c>
      <c r="I25" s="2"/>
    </row>
    <row r="27" spans="1:14" x14ac:dyDescent="0.2">
      <c r="A27" s="87" t="s">
        <v>277</v>
      </c>
      <c r="B27" s="87"/>
      <c r="C27" s="87"/>
      <c r="D27" s="87"/>
      <c r="E27" s="87"/>
      <c r="F27" s="87"/>
      <c r="G27" t="s">
        <v>698</v>
      </c>
    </row>
    <row r="28" spans="1:14" x14ac:dyDescent="0.2">
      <c r="A28" s="42"/>
      <c r="B28" s="90" t="s">
        <v>272</v>
      </c>
      <c r="C28" s="90"/>
      <c r="D28" s="90"/>
      <c r="E28" s="90"/>
      <c r="F28" s="90"/>
      <c r="G28" s="90"/>
      <c r="H28" s="90"/>
      <c r="I28" s="151" t="s">
        <v>1295</v>
      </c>
      <c r="L28" s="19">
        <f>VALUE(MID(I28,1,L29-1))</f>
        <v>-35.729799999999997</v>
      </c>
      <c r="M28" s="19">
        <f>VALUE(MID(I28,L29+1,M29-L29-1))</f>
        <v>-47.561199999999999</v>
      </c>
      <c r="N28" s="19">
        <f>VALUE(MID(I28,M29+1,N29-M29))</f>
        <v>-850.46600000000001</v>
      </c>
    </row>
    <row r="29" spans="1:14" x14ac:dyDescent="0.2">
      <c r="A29" s="42"/>
      <c r="C29" t="s">
        <v>546</v>
      </c>
      <c r="I29" s="2"/>
      <c r="L29" s="1">
        <f>SEARCH(" ",I28,1)</f>
        <v>9</v>
      </c>
      <c r="M29" s="1">
        <f>SEARCH(" ",I28,L29+1)</f>
        <v>18</v>
      </c>
      <c r="N29" s="1">
        <f>LEN(I28)</f>
        <v>26</v>
      </c>
    </row>
    <row r="30" spans="1:14" x14ac:dyDescent="0.2">
      <c r="A30" s="42"/>
      <c r="C30" t="s">
        <v>11</v>
      </c>
      <c r="I30" s="2"/>
    </row>
    <row r="31" spans="1:14" x14ac:dyDescent="0.2">
      <c r="A31" s="42"/>
      <c r="I31" s="2"/>
    </row>
    <row r="32" spans="1:14" x14ac:dyDescent="0.2">
      <c r="G32" t="s">
        <v>273</v>
      </c>
      <c r="I32">
        <f>L28-L23</f>
        <v>-9.9997999999999969</v>
      </c>
      <c r="J32">
        <f>M28-M23</f>
        <v>-1.9999999999953388E-4</v>
      </c>
      <c r="K32">
        <f>N28-N23</f>
        <v>8.0000000000040927E-2</v>
      </c>
    </row>
    <row r="34" spans="1:17" x14ac:dyDescent="0.2">
      <c r="A34" s="87" t="s">
        <v>278</v>
      </c>
      <c r="B34" s="87"/>
      <c r="C34" s="87"/>
      <c r="D34" s="87"/>
      <c r="E34" s="87"/>
      <c r="F34" s="87"/>
      <c r="K34" s="59"/>
      <c r="Q34" s="59"/>
    </row>
    <row r="35" spans="1:17" x14ac:dyDescent="0.2">
      <c r="A35" s="42"/>
      <c r="B35" s="42"/>
      <c r="C35" s="42"/>
      <c r="D35" s="42"/>
      <c r="E35" s="42"/>
      <c r="F35" s="42"/>
    </row>
    <row r="36" spans="1:17" x14ac:dyDescent="0.2">
      <c r="B36" s="82" t="s">
        <v>699</v>
      </c>
      <c r="C36" s="11"/>
      <c r="D36" s="11"/>
      <c r="E36" s="11"/>
    </row>
    <row r="37" spans="1:17" x14ac:dyDescent="0.2">
      <c r="C37" t="s">
        <v>558</v>
      </c>
    </row>
    <row r="38" spans="1:17" x14ac:dyDescent="0.2">
      <c r="C38" t="s">
        <v>555</v>
      </c>
    </row>
    <row r="39" spans="1:17" x14ac:dyDescent="0.2">
      <c r="C39" t="s">
        <v>740</v>
      </c>
    </row>
    <row r="41" spans="1:17" x14ac:dyDescent="0.2">
      <c r="C41" s="82" t="s">
        <v>557</v>
      </c>
      <c r="D41" s="11"/>
      <c r="E41" s="70">
        <v>-5769</v>
      </c>
      <c r="G41" s="82" t="s">
        <v>556</v>
      </c>
      <c r="H41" s="11"/>
      <c r="I41" s="70">
        <v>14677</v>
      </c>
    </row>
    <row r="43" spans="1:17" x14ac:dyDescent="0.2">
      <c r="A43" s="42"/>
      <c r="B43" s="42"/>
      <c r="C43" s="42"/>
      <c r="D43" s="42"/>
      <c r="E43" s="42"/>
      <c r="F43" s="42"/>
      <c r="G43" t="s">
        <v>698</v>
      </c>
    </row>
    <row r="44" spans="1:17" x14ac:dyDescent="0.2">
      <c r="A44" s="42"/>
      <c r="B44" s="82" t="s">
        <v>700</v>
      </c>
      <c r="C44" s="82"/>
      <c r="D44" s="82"/>
      <c r="E44" s="82"/>
      <c r="F44" s="82"/>
      <c r="G44" s="82"/>
      <c r="H44" s="82"/>
      <c r="I44" s="151" t="s">
        <v>1297</v>
      </c>
      <c r="L44" s="19">
        <f>VALUE(MID(I44,1,L45-1))</f>
        <v>-25.603999999999999</v>
      </c>
      <c r="M44" s="19">
        <f>VALUE(MID(I44,L45+1,M45-L45-1))</f>
        <v>-63.771999999999998</v>
      </c>
      <c r="N44" s="19">
        <f>VALUE(MID(I44,M45+1,N45-M45))</f>
        <v>-829.42100000000005</v>
      </c>
    </row>
    <row r="45" spans="1:17" x14ac:dyDescent="0.2">
      <c r="A45" s="42"/>
      <c r="C45" t="s">
        <v>546</v>
      </c>
      <c r="I45" s="2"/>
      <c r="L45" s="1">
        <f>SEARCH(" ",I44,1)</f>
        <v>8</v>
      </c>
      <c r="M45" s="1">
        <f>SEARCH(" ",I44,L45+1)</f>
        <v>16</v>
      </c>
      <c r="N45" s="1">
        <f>LEN(I44)</f>
        <v>24</v>
      </c>
    </row>
    <row r="46" spans="1:17" x14ac:dyDescent="0.2">
      <c r="A46" s="42"/>
      <c r="C46" t="s">
        <v>11</v>
      </c>
      <c r="I46" s="2"/>
    </row>
    <row r="47" spans="1:17" x14ac:dyDescent="0.2">
      <c r="L47" s="1" t="s">
        <v>14</v>
      </c>
      <c r="M47" s="1" t="s">
        <v>15</v>
      </c>
      <c r="N47" s="1" t="s">
        <v>16</v>
      </c>
      <c r="O47" s="1" t="s">
        <v>17</v>
      </c>
      <c r="P47" s="1" t="s">
        <v>18</v>
      </c>
    </row>
    <row r="48" spans="1:17" x14ac:dyDescent="0.2">
      <c r="A48" s="56" t="s">
        <v>877</v>
      </c>
      <c r="B48" s="56" t="s">
        <v>274</v>
      </c>
      <c r="C48" s="15"/>
      <c r="D48" s="15"/>
      <c r="E48" s="15"/>
      <c r="F48" s="15"/>
      <c r="G48" s="15"/>
      <c r="H48" s="15"/>
      <c r="I48" s="74" t="str">
        <f>CONCATENATE(TEXT(L49,"0.000")," ",TEXT(M49,"0.000")," ",TEXT(N49,"0.000"))</f>
        <v>-35.604 -63.772 -829.341</v>
      </c>
      <c r="L48" s="1">
        <f>IF(ABS(I32+L44)&lt;=1024,I32+L44,IF(I32+L44&gt;1024,I32+L44-2048,I32+L44+2048))</f>
        <v>-35.603799999999993</v>
      </c>
      <c r="M48" s="1">
        <f>J32+M44</f>
        <v>-63.772199999999998</v>
      </c>
      <c r="N48" s="1">
        <f>IF(ABS(K32+N44)&lt;=1024,K32+N44,IF(K32+N44&gt;1024,K32+N44-2048,K32+N44+2048))</f>
        <v>-829.34100000000001</v>
      </c>
      <c r="O48" s="1">
        <f>IF(ABS(I32+L44)&lt;=1024,E41,IF(I32+L44&gt;1024,E41+1,E41-1))</f>
        <v>-5769</v>
      </c>
      <c r="P48" s="1">
        <f>IF(ABS(K32+N44)&lt;=1024,I41,IF(K32+N44&gt;1024,I41+1,I41-1))</f>
        <v>14677</v>
      </c>
    </row>
    <row r="49" spans="1:14" x14ac:dyDescent="0.2">
      <c r="A49" s="56"/>
      <c r="B49" s="162" t="s">
        <v>701</v>
      </c>
      <c r="C49" s="15"/>
      <c r="D49" s="15"/>
      <c r="E49" s="15"/>
      <c r="F49" s="15"/>
      <c r="G49" s="15"/>
      <c r="H49" s="15"/>
      <c r="I49" s="182">
        <f>O48</f>
        <v>-5769</v>
      </c>
      <c r="J49" s="182">
        <f>P48</f>
        <v>14677</v>
      </c>
      <c r="L49" s="19">
        <f>I32+L44</f>
        <v>-35.603799999999993</v>
      </c>
      <c r="M49" s="19">
        <f>J32+M44</f>
        <v>-63.772199999999998</v>
      </c>
      <c r="N49" s="19">
        <f>K32+N44</f>
        <v>-829.34100000000001</v>
      </c>
    </row>
    <row r="51" spans="1:14" x14ac:dyDescent="0.2">
      <c r="A51" s="87" t="s">
        <v>283</v>
      </c>
      <c r="B51" s="87"/>
      <c r="C51" s="87"/>
      <c r="D51" s="87"/>
      <c r="E51" s="87"/>
      <c r="F51" s="87"/>
      <c r="G51" s="87"/>
      <c r="H51" s="87"/>
      <c r="I51" s="87"/>
      <c r="J51" s="87"/>
    </row>
    <row r="52" spans="1:14" s="28" customFormat="1" ht="13.5" thickBot="1" x14ac:dyDescent="0.25"/>
    <row r="53" spans="1:14" x14ac:dyDescent="0.2">
      <c r="I53" s="152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workbookViewId="0">
      <selection activeCell="A2" sqref="A2"/>
    </sheetView>
  </sheetViews>
  <sheetFormatPr defaultRowHeight="12.75" x14ac:dyDescent="0.2"/>
  <cols>
    <col min="2" max="2" width="11.140625" customWidth="1"/>
  </cols>
  <sheetData>
    <row r="1" spans="1:19" s="5" customFormat="1" x14ac:dyDescent="0.2">
      <c r="A1" s="14" t="s">
        <v>1012</v>
      </c>
      <c r="B1" s="14"/>
      <c r="C1" s="14"/>
      <c r="D1" s="14"/>
      <c r="E1" s="14"/>
      <c r="F1" s="14"/>
    </row>
    <row r="3" spans="1:19" x14ac:dyDescent="0.2">
      <c r="A3" s="33" t="s">
        <v>411</v>
      </c>
    </row>
    <row r="4" spans="1:19" x14ac:dyDescent="0.2">
      <c r="B4" t="s">
        <v>1005</v>
      </c>
    </row>
    <row r="5" spans="1:19" x14ac:dyDescent="0.2">
      <c r="B5" t="s">
        <v>408</v>
      </c>
    </row>
    <row r="7" spans="1:19" x14ac:dyDescent="0.2">
      <c r="A7" t="s">
        <v>1006</v>
      </c>
    </row>
    <row r="9" spans="1:19" x14ac:dyDescent="0.2">
      <c r="A9" t="s">
        <v>409</v>
      </c>
    </row>
    <row r="10" spans="1:19" s="28" customFormat="1" ht="13.5" thickBot="1" x14ac:dyDescent="0.25"/>
    <row r="11" spans="1:19" s="27" customFormat="1" x14ac:dyDescent="0.2">
      <c r="A11" s="8" t="s">
        <v>544</v>
      </c>
      <c r="B11" s="8"/>
      <c r="C11" s="8"/>
      <c r="D11" s="8"/>
      <c r="E11" s="8"/>
      <c r="F11" s="8"/>
    </row>
    <row r="13" spans="1:19" x14ac:dyDescent="0.2">
      <c r="A13" s="82" t="s">
        <v>396</v>
      </c>
      <c r="B13" s="11"/>
      <c r="C13" s="11"/>
      <c r="D13" s="86"/>
      <c r="E13" s="86"/>
      <c r="F13" s="86"/>
      <c r="G13" s="19"/>
      <c r="H13" s="19"/>
      <c r="I13" s="19"/>
      <c r="J13" s="19"/>
      <c r="K13" s="19"/>
      <c r="L13" s="19"/>
      <c r="M13" s="19"/>
      <c r="N13" s="19"/>
      <c r="S13" s="77"/>
    </row>
    <row r="14" spans="1:19" x14ac:dyDescent="0.2">
      <c r="B14" s="1"/>
      <c r="C14" s="1"/>
      <c r="D14" s="19"/>
      <c r="E14" s="1"/>
      <c r="F14" s="1"/>
      <c r="G14" s="1"/>
      <c r="H14" s="19"/>
      <c r="I14" s="19"/>
      <c r="J14" s="19"/>
      <c r="K14" s="19"/>
      <c r="L14" s="19"/>
      <c r="M14" s="19"/>
      <c r="N14" s="19"/>
    </row>
    <row r="15" spans="1:19" x14ac:dyDescent="0.2">
      <c r="A15" t="s">
        <v>400</v>
      </c>
      <c r="B15" s="1"/>
      <c r="C15" s="1"/>
      <c r="D15" s="19"/>
      <c r="E15" s="1"/>
      <c r="F15" s="1"/>
      <c r="G15" s="1"/>
      <c r="H15" s="19"/>
      <c r="I15" s="19"/>
      <c r="J15" s="19"/>
      <c r="K15" s="19"/>
      <c r="L15" s="19"/>
      <c r="M15" s="19"/>
      <c r="N15" s="19"/>
    </row>
    <row r="16" spans="1:19" x14ac:dyDescent="0.2">
      <c r="B16" s="41" t="s">
        <v>401</v>
      </c>
      <c r="C16" s="1"/>
      <c r="D16" s="19"/>
      <c r="E16" s="1"/>
      <c r="F16" s="1"/>
      <c r="G16" s="1"/>
      <c r="H16" s="19"/>
      <c r="I16" s="19"/>
      <c r="J16" s="19"/>
      <c r="K16" s="19"/>
      <c r="L16" s="19"/>
      <c r="M16" s="19"/>
      <c r="N16" s="19"/>
    </row>
    <row r="17" spans="1:14" x14ac:dyDescent="0.2">
      <c r="B17" s="13"/>
      <c r="C17" s="1"/>
      <c r="D17" s="19"/>
      <c r="E17" s="1"/>
      <c r="F17" s="1"/>
      <c r="G17" s="1"/>
      <c r="H17" s="19"/>
      <c r="I17" s="19"/>
      <c r="J17" s="19"/>
      <c r="K17" s="19"/>
      <c r="L17" s="19"/>
      <c r="M17" s="19"/>
      <c r="N17" s="19"/>
    </row>
    <row r="18" spans="1:14" x14ac:dyDescent="0.2">
      <c r="A18" t="s">
        <v>87</v>
      </c>
      <c r="C18" s="1"/>
      <c r="D18" s="19"/>
      <c r="E18" s="1"/>
      <c r="F18" s="1"/>
      <c r="G18" s="1"/>
      <c r="H18" s="19"/>
      <c r="I18" s="19"/>
      <c r="J18" s="19"/>
      <c r="K18" s="19"/>
      <c r="L18" s="19"/>
      <c r="M18" s="19"/>
      <c r="N18" s="19"/>
    </row>
    <row r="19" spans="1:14" x14ac:dyDescent="0.2">
      <c r="B19" s="82" t="s">
        <v>86</v>
      </c>
      <c r="C19" s="11"/>
      <c r="D19" s="11"/>
      <c r="E19" s="11"/>
      <c r="F19" s="11"/>
      <c r="G19" s="11"/>
      <c r="H19" s="11"/>
      <c r="I19" s="11"/>
      <c r="J19" s="11"/>
      <c r="K19" s="19"/>
      <c r="L19" s="19"/>
      <c r="M19" s="19"/>
      <c r="N19" s="19"/>
    </row>
    <row r="20" spans="1:14" x14ac:dyDescent="0.2">
      <c r="C20" s="1"/>
      <c r="D20" s="19"/>
      <c r="E20" s="1"/>
      <c r="F20" s="1"/>
      <c r="G20" s="1"/>
      <c r="H20" s="19"/>
      <c r="I20" s="19"/>
      <c r="J20" s="19"/>
      <c r="K20" s="19"/>
      <c r="L20" s="19"/>
      <c r="M20" s="19"/>
      <c r="N20" s="19"/>
    </row>
    <row r="21" spans="1:14" x14ac:dyDescent="0.2">
      <c r="B21" t="s">
        <v>67</v>
      </c>
      <c r="C21" s="1"/>
      <c r="D21" s="19"/>
      <c r="E21" s="1"/>
      <c r="F21" s="1"/>
      <c r="G21" s="1"/>
      <c r="H21" s="19"/>
      <c r="I21" s="19"/>
      <c r="J21" s="19"/>
      <c r="K21" s="19"/>
      <c r="L21" s="19"/>
      <c r="M21" s="19"/>
      <c r="N21" s="19"/>
    </row>
    <row r="22" spans="1:14" x14ac:dyDescent="0.2">
      <c r="B22" s="102" t="s">
        <v>73</v>
      </c>
      <c r="C22" s="102"/>
      <c r="D22" s="102"/>
      <c r="E22" s="141">
        <v>20</v>
      </c>
      <c r="F22" s="102" t="s">
        <v>576</v>
      </c>
      <c r="G22" s="103" t="s">
        <v>64</v>
      </c>
      <c r="H22" s="103"/>
      <c r="I22" s="103"/>
      <c r="J22" s="142">
        <f>0.5*E22/(SIN(0.5*E23/180*PI()))</f>
        <v>229.25585626053348</v>
      </c>
      <c r="K22" s="103" t="s">
        <v>576</v>
      </c>
      <c r="L22" s="19"/>
      <c r="M22" s="19"/>
      <c r="N22" s="19"/>
    </row>
    <row r="23" spans="1:14" x14ac:dyDescent="0.2">
      <c r="B23" s="102" t="s">
        <v>65</v>
      </c>
      <c r="C23" s="102"/>
      <c r="D23" s="102"/>
      <c r="E23" s="141">
        <v>5</v>
      </c>
      <c r="F23" s="102" t="s">
        <v>1076</v>
      </c>
      <c r="G23" s="103" t="s">
        <v>63</v>
      </c>
      <c r="H23" s="103"/>
      <c r="I23" s="103"/>
      <c r="J23" s="142">
        <f>ABS(E23)</f>
        <v>5</v>
      </c>
      <c r="K23" s="103" t="s">
        <v>1076</v>
      </c>
      <c r="L23" s="19"/>
      <c r="M23" s="19"/>
      <c r="N23" s="19"/>
    </row>
    <row r="24" spans="1:14" x14ac:dyDescent="0.2">
      <c r="C24" s="1"/>
      <c r="D24" s="19"/>
      <c r="E24" s="1"/>
      <c r="F24" s="1"/>
      <c r="G24" s="1"/>
      <c r="H24" s="19"/>
      <c r="I24" s="19"/>
      <c r="J24" s="19"/>
      <c r="K24" s="19"/>
      <c r="L24" s="19"/>
      <c r="M24" s="19"/>
      <c r="N24" s="19"/>
    </row>
    <row r="25" spans="1:14" x14ac:dyDescent="0.2">
      <c r="B25" t="s">
        <v>68</v>
      </c>
      <c r="C25" s="1"/>
      <c r="D25" s="19"/>
      <c r="E25" s="1"/>
      <c r="F25" s="1"/>
      <c r="G25" s="1"/>
      <c r="H25" s="19"/>
      <c r="I25" s="19"/>
      <c r="J25" s="19"/>
      <c r="K25" s="19"/>
      <c r="L25" s="19"/>
      <c r="M25" s="19"/>
      <c r="N25" s="19"/>
    </row>
    <row r="26" spans="1:14" x14ac:dyDescent="0.2">
      <c r="B26" s="102" t="s">
        <v>74</v>
      </c>
      <c r="C26" s="102"/>
      <c r="D26" s="102"/>
      <c r="E26" s="141">
        <v>100</v>
      </c>
      <c r="F26" s="102" t="s">
        <v>66</v>
      </c>
      <c r="G26" s="103" t="s">
        <v>64</v>
      </c>
      <c r="H26" s="103"/>
      <c r="I26" s="103"/>
      <c r="J26" s="142">
        <f>0.5*E26*0.3048/(SIN(0.5*ABS(E27)/180*PI()))</f>
        <v>349.38592494105302</v>
      </c>
      <c r="K26" s="103" t="s">
        <v>576</v>
      </c>
      <c r="L26" s="19"/>
      <c r="M26" s="19"/>
      <c r="N26" s="19"/>
    </row>
    <row r="27" spans="1:14" x14ac:dyDescent="0.2">
      <c r="B27" s="102" t="s">
        <v>65</v>
      </c>
      <c r="C27" s="102"/>
      <c r="D27" s="102"/>
      <c r="E27" s="141">
        <v>5</v>
      </c>
      <c r="F27" s="102" t="s">
        <v>1076</v>
      </c>
      <c r="G27" s="103" t="s">
        <v>63</v>
      </c>
      <c r="H27" s="103"/>
      <c r="I27" s="103"/>
      <c r="J27" s="142">
        <f>ABS(E27)</f>
        <v>5</v>
      </c>
      <c r="K27" s="103" t="s">
        <v>1076</v>
      </c>
      <c r="L27" s="19"/>
      <c r="M27" s="19"/>
      <c r="N27" s="19"/>
    </row>
    <row r="28" spans="1:14" x14ac:dyDescent="0.2">
      <c r="B28" s="40" t="s">
        <v>395</v>
      </c>
      <c r="C28" s="1"/>
      <c r="D28" s="19"/>
      <c r="E28" s="1"/>
      <c r="F28" s="1"/>
      <c r="G28" s="1"/>
      <c r="H28" s="19"/>
      <c r="I28" s="19"/>
      <c r="J28" s="19"/>
      <c r="K28" s="19"/>
      <c r="L28" s="19"/>
      <c r="M28" s="19"/>
      <c r="N28" s="19"/>
    </row>
    <row r="29" spans="1:14" x14ac:dyDescent="0.2">
      <c r="C29" s="1"/>
      <c r="D29" s="19"/>
      <c r="E29" s="1"/>
      <c r="F29" s="1"/>
      <c r="G29" s="1"/>
      <c r="H29" s="19"/>
      <c r="I29" s="19"/>
      <c r="J29" s="19"/>
      <c r="K29" s="19"/>
      <c r="L29" s="19"/>
      <c r="M29" s="19"/>
      <c r="N29" s="19"/>
    </row>
    <row r="30" spans="1:14" x14ac:dyDescent="0.2">
      <c r="A30" s="82" t="s">
        <v>687</v>
      </c>
      <c r="B30" s="11"/>
      <c r="C30" s="11"/>
      <c r="D30" s="10"/>
      <c r="E30" s="70">
        <v>200</v>
      </c>
      <c r="F30" t="s">
        <v>1202</v>
      </c>
      <c r="G30" s="1"/>
      <c r="H30" s="19"/>
      <c r="I30" s="19"/>
      <c r="J30" s="19"/>
      <c r="K30" s="19"/>
      <c r="L30" s="19"/>
      <c r="M30" s="19"/>
      <c r="N30" s="19"/>
    </row>
    <row r="32" spans="1:14" x14ac:dyDescent="0.2">
      <c r="A32" s="82" t="s">
        <v>397</v>
      </c>
      <c r="B32" s="82"/>
      <c r="C32" s="82"/>
    </row>
    <row r="34" spans="1:11" x14ac:dyDescent="0.2">
      <c r="A34" t="s">
        <v>398</v>
      </c>
    </row>
    <row r="36" spans="1:11" x14ac:dyDescent="0.2">
      <c r="A36" s="82" t="s">
        <v>399</v>
      </c>
      <c r="B36" s="11"/>
      <c r="C36" s="11"/>
      <c r="D36" s="10"/>
      <c r="E36" s="70">
        <v>20</v>
      </c>
      <c r="F36" t="s">
        <v>576</v>
      </c>
    </row>
    <row r="38" spans="1:11" x14ac:dyDescent="0.2">
      <c r="B38" s="33" t="s">
        <v>1081</v>
      </c>
    </row>
    <row r="39" spans="1:11" x14ac:dyDescent="0.2">
      <c r="B39" s="41" t="s">
        <v>402</v>
      </c>
      <c r="E39" s="13" t="str">
        <f>T(IF(E36&gt;2*E30,"RADIUS IS TOO SMALL! USE LARGER TURN RADIUS","ok"))</f>
        <v>ok</v>
      </c>
      <c r="F39" s="13"/>
      <c r="I39" s="77"/>
    </row>
    <row r="40" spans="1:11" hidden="1" x14ac:dyDescent="0.2">
      <c r="B40" s="41"/>
      <c r="F40" s="13"/>
    </row>
    <row r="41" spans="1:11" s="1" customFormat="1" hidden="1" x14ac:dyDescent="0.2">
      <c r="B41" s="1" t="s">
        <v>403</v>
      </c>
      <c r="D41" s="1">
        <f>ACOS(1-E36/E30/2)</f>
        <v>0.31756042929152151</v>
      </c>
      <c r="E41" s="1" t="s">
        <v>61</v>
      </c>
      <c r="F41" s="1" t="s">
        <v>459</v>
      </c>
      <c r="G41" s="1">
        <f>180/PI()*D41</f>
        <v>18.194872338766785</v>
      </c>
      <c r="H41" s="1" t="s">
        <v>1076</v>
      </c>
    </row>
    <row r="42" spans="1:11" s="1" customFormat="1" hidden="1" x14ac:dyDescent="0.2">
      <c r="C42" s="1" t="s">
        <v>459</v>
      </c>
      <c r="D42" s="1">
        <f>ROUND(D41,3)</f>
        <v>0.318</v>
      </c>
      <c r="E42" s="1" t="s">
        <v>404</v>
      </c>
      <c r="G42" s="1" t="s">
        <v>262</v>
      </c>
      <c r="I42" s="1">
        <f>2*E30*(1-COS(D42))</f>
        <v>20.054939074380897</v>
      </c>
    </row>
    <row r="43" spans="1:11" s="1" customFormat="1" hidden="1" x14ac:dyDescent="0.2"/>
    <row r="44" spans="1:11" s="1" customFormat="1" hidden="1" x14ac:dyDescent="0.2">
      <c r="B44" s="1" t="s">
        <v>405</v>
      </c>
      <c r="D44" s="1">
        <f>2*E30*SIN(D42)</f>
        <v>125.06698476507535</v>
      </c>
      <c r="E44" s="1" t="s">
        <v>576</v>
      </c>
    </row>
    <row r="45" spans="1:11" s="28" customFormat="1" ht="13.5" thickBot="1" x14ac:dyDescent="0.25">
      <c r="G45" s="30"/>
      <c r="H45" s="30"/>
      <c r="I45" s="165"/>
      <c r="J45" s="30"/>
      <c r="K45" s="30"/>
    </row>
    <row r="46" spans="1:11" s="100" customFormat="1" x14ac:dyDescent="0.2">
      <c r="A46" s="99" t="s">
        <v>13</v>
      </c>
    </row>
    <row r="48" spans="1:11" x14ac:dyDescent="0.2">
      <c r="A48" s="56" t="s">
        <v>877</v>
      </c>
      <c r="B48" s="180" t="s">
        <v>407</v>
      </c>
      <c r="C48" s="74">
        <f>-D42</f>
        <v>-0.318</v>
      </c>
      <c r="D48" t="s">
        <v>61</v>
      </c>
    </row>
    <row r="49" spans="2:11" x14ac:dyDescent="0.2">
      <c r="B49" s="181" t="s">
        <v>412</v>
      </c>
      <c r="C49" s="88"/>
    </row>
    <row r="50" spans="2:11" x14ac:dyDescent="0.2">
      <c r="B50" s="88"/>
      <c r="C50" s="88"/>
    </row>
    <row r="51" spans="2:11" x14ac:dyDescent="0.2">
      <c r="B51" s="180" t="s">
        <v>808</v>
      </c>
      <c r="C51" s="88"/>
      <c r="J51" s="38">
        <f>I42</f>
        <v>20.054939074380897</v>
      </c>
      <c r="K51" t="s">
        <v>576</v>
      </c>
    </row>
    <row r="52" spans="2:11" x14ac:dyDescent="0.2">
      <c r="B52" s="88"/>
      <c r="C52" s="88"/>
    </row>
    <row r="53" spans="2:11" x14ac:dyDescent="0.2">
      <c r="B53" s="89" t="s">
        <v>410</v>
      </c>
      <c r="C53" s="88"/>
      <c r="J53" s="38">
        <f>D44</f>
        <v>125.06698476507535</v>
      </c>
      <c r="K53" t="s">
        <v>576</v>
      </c>
    </row>
    <row r="54" spans="2:11" x14ac:dyDescent="0.2">
      <c r="B54" s="89"/>
      <c r="C54" s="89" t="s">
        <v>406</v>
      </c>
    </row>
    <row r="55" spans="2:11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activeCell="A2" sqref="A2"/>
    </sheetView>
  </sheetViews>
  <sheetFormatPr defaultRowHeight="12.75" x14ac:dyDescent="0.2"/>
  <cols>
    <col min="2" max="2" width="11.140625" customWidth="1"/>
    <col min="4" max="4" width="10.140625" customWidth="1"/>
  </cols>
  <sheetData>
    <row r="1" spans="1:19" s="5" customFormat="1" x14ac:dyDescent="0.2">
      <c r="A1" s="14" t="s">
        <v>1011</v>
      </c>
      <c r="B1" s="14"/>
      <c r="C1" s="14"/>
      <c r="D1" s="14"/>
      <c r="E1" s="14"/>
      <c r="F1" s="14"/>
    </row>
    <row r="3" spans="1:19" x14ac:dyDescent="0.2">
      <c r="A3" s="33" t="s">
        <v>1013</v>
      </c>
    </row>
    <row r="4" spans="1:19" x14ac:dyDescent="0.2">
      <c r="B4" t="s">
        <v>1014</v>
      </c>
    </row>
    <row r="5" spans="1:19" x14ac:dyDescent="0.2">
      <c r="B5" t="s">
        <v>408</v>
      </c>
    </row>
    <row r="7" spans="1:19" x14ac:dyDescent="0.2">
      <c r="A7" t="s">
        <v>1015</v>
      </c>
    </row>
    <row r="9" spans="1:19" x14ac:dyDescent="0.2">
      <c r="A9" t="s">
        <v>409</v>
      </c>
    </row>
    <row r="10" spans="1:19" s="28" customFormat="1" ht="13.5" thickBot="1" x14ac:dyDescent="0.25"/>
    <row r="11" spans="1:19" s="27" customFormat="1" x14ac:dyDescent="0.2">
      <c r="A11" s="8" t="s">
        <v>544</v>
      </c>
      <c r="B11" s="8"/>
      <c r="C11" s="8"/>
      <c r="D11" s="8"/>
      <c r="E11" s="8"/>
      <c r="F11" s="8"/>
    </row>
    <row r="13" spans="1:19" x14ac:dyDescent="0.2">
      <c r="A13" s="82" t="s">
        <v>396</v>
      </c>
      <c r="B13" s="11"/>
      <c r="C13" s="11"/>
      <c r="D13" s="86"/>
      <c r="E13" s="86"/>
      <c r="F13" s="86"/>
      <c r="G13" s="19"/>
      <c r="H13" s="19"/>
      <c r="I13" s="19"/>
      <c r="J13" s="19"/>
      <c r="K13" s="19"/>
      <c r="L13" s="19"/>
      <c r="M13" s="19"/>
      <c r="N13" s="19"/>
      <c r="S13" s="77"/>
    </row>
    <row r="14" spans="1:19" x14ac:dyDescent="0.2">
      <c r="B14" s="1"/>
      <c r="C14" s="1"/>
      <c r="D14" s="19"/>
      <c r="E14" s="1"/>
      <c r="F14" s="1"/>
      <c r="G14" s="1"/>
      <c r="H14" s="19"/>
      <c r="I14" s="19"/>
      <c r="J14" s="19"/>
      <c r="K14" s="19"/>
      <c r="L14" s="19"/>
      <c r="M14" s="19"/>
      <c r="N14" s="19"/>
    </row>
    <row r="15" spans="1:19" x14ac:dyDescent="0.2">
      <c r="A15" t="s">
        <v>400</v>
      </c>
      <c r="B15" s="1"/>
      <c r="C15" s="1"/>
      <c r="D15" s="19"/>
      <c r="E15" s="1"/>
      <c r="F15" s="1"/>
      <c r="G15" s="1"/>
      <c r="H15" s="19"/>
      <c r="I15" s="19"/>
      <c r="J15" s="19"/>
      <c r="K15" s="19"/>
      <c r="L15" s="19"/>
      <c r="M15" s="19"/>
      <c r="N15" s="19"/>
    </row>
    <row r="16" spans="1:19" x14ac:dyDescent="0.2">
      <c r="B16" s="41" t="s">
        <v>401</v>
      </c>
      <c r="C16" s="1"/>
      <c r="D16" s="19"/>
      <c r="E16" s="1"/>
      <c r="F16" s="1"/>
      <c r="G16" s="1"/>
      <c r="H16" s="19"/>
      <c r="I16" s="19"/>
      <c r="J16" s="19"/>
      <c r="K16" s="19"/>
      <c r="L16" s="19"/>
      <c r="M16" s="19"/>
      <c r="N16" s="19"/>
    </row>
    <row r="17" spans="1:14" x14ac:dyDescent="0.2">
      <c r="B17" s="13"/>
      <c r="C17" s="1"/>
      <c r="D17" s="19"/>
      <c r="E17" s="1"/>
      <c r="F17" s="1"/>
      <c r="G17" s="1"/>
      <c r="H17" s="19"/>
      <c r="I17" s="19"/>
      <c r="J17" s="19"/>
      <c r="K17" s="19"/>
      <c r="L17" s="19"/>
      <c r="M17" s="19"/>
      <c r="N17" s="19"/>
    </row>
    <row r="18" spans="1:14" x14ac:dyDescent="0.2">
      <c r="A18" t="s">
        <v>87</v>
      </c>
      <c r="C18" s="1"/>
      <c r="D18" s="19"/>
      <c r="E18" s="1"/>
      <c r="F18" s="1"/>
      <c r="G18" s="1"/>
      <c r="H18" s="19"/>
      <c r="I18" s="19"/>
      <c r="J18" s="19"/>
      <c r="K18" s="19"/>
      <c r="L18" s="19"/>
      <c r="M18" s="19"/>
      <c r="N18" s="19"/>
    </row>
    <row r="19" spans="1:14" x14ac:dyDescent="0.2">
      <c r="B19" s="82" t="s">
        <v>86</v>
      </c>
      <c r="C19" s="11"/>
      <c r="D19" s="11"/>
      <c r="E19" s="11"/>
      <c r="F19" s="11"/>
      <c r="G19" s="11"/>
      <c r="H19" s="11"/>
      <c r="I19" s="11"/>
      <c r="J19" s="11"/>
      <c r="K19" s="19"/>
      <c r="L19" s="19"/>
      <c r="M19" s="19"/>
      <c r="N19" s="19"/>
    </row>
    <row r="20" spans="1:14" x14ac:dyDescent="0.2">
      <c r="C20" s="1"/>
      <c r="D20" s="19"/>
      <c r="E20" s="1"/>
      <c r="F20" s="1"/>
      <c r="G20" s="1"/>
      <c r="H20" s="19"/>
      <c r="I20" s="19"/>
      <c r="J20" s="19"/>
      <c r="K20" s="19"/>
      <c r="L20" s="19"/>
      <c r="M20" s="19"/>
      <c r="N20" s="19"/>
    </row>
    <row r="21" spans="1:14" x14ac:dyDescent="0.2">
      <c r="B21" t="s">
        <v>67</v>
      </c>
      <c r="C21" s="1"/>
      <c r="D21" s="19"/>
      <c r="E21" s="1"/>
      <c r="F21" s="1"/>
      <c r="G21" s="1"/>
      <c r="H21" s="19"/>
      <c r="I21" s="19"/>
      <c r="J21" s="19"/>
      <c r="K21" s="19"/>
      <c r="L21" s="19"/>
      <c r="M21" s="19"/>
      <c r="N21" s="19"/>
    </row>
    <row r="22" spans="1:14" x14ac:dyDescent="0.2">
      <c r="B22" s="102" t="s">
        <v>73</v>
      </c>
      <c r="C22" s="102"/>
      <c r="D22" s="102"/>
      <c r="E22" s="141">
        <v>20</v>
      </c>
      <c r="F22" s="102" t="s">
        <v>576</v>
      </c>
      <c r="G22" s="103" t="s">
        <v>64</v>
      </c>
      <c r="H22" s="103"/>
      <c r="I22" s="103"/>
      <c r="J22" s="142">
        <f>0.5*E22/(SIN(0.5*E23/180*PI()))</f>
        <v>229.25585626053348</v>
      </c>
      <c r="K22" s="103" t="s">
        <v>576</v>
      </c>
      <c r="L22" s="19"/>
      <c r="M22" s="19"/>
      <c r="N22" s="19"/>
    </row>
    <row r="23" spans="1:14" x14ac:dyDescent="0.2">
      <c r="B23" s="102" t="s">
        <v>65</v>
      </c>
      <c r="C23" s="102"/>
      <c r="D23" s="102"/>
      <c r="E23" s="141">
        <v>5</v>
      </c>
      <c r="F23" s="102" t="s">
        <v>1076</v>
      </c>
      <c r="G23" s="103" t="s">
        <v>63</v>
      </c>
      <c r="H23" s="103"/>
      <c r="I23" s="103"/>
      <c r="J23" s="142">
        <f>ABS(E23)</f>
        <v>5</v>
      </c>
      <c r="K23" s="103" t="s">
        <v>1076</v>
      </c>
      <c r="L23" s="19"/>
      <c r="M23" s="19"/>
      <c r="N23" s="19"/>
    </row>
    <row r="24" spans="1:14" x14ac:dyDescent="0.2">
      <c r="C24" s="1"/>
      <c r="D24" s="19"/>
      <c r="E24" s="1"/>
      <c r="F24" s="1"/>
      <c r="G24" s="1"/>
      <c r="H24" s="19"/>
      <c r="I24" s="19"/>
      <c r="J24" s="19"/>
      <c r="K24" s="19"/>
      <c r="L24" s="19"/>
      <c r="M24" s="19"/>
      <c r="N24" s="19"/>
    </row>
    <row r="25" spans="1:14" x14ac:dyDescent="0.2">
      <c r="B25" t="s">
        <v>68</v>
      </c>
      <c r="C25" s="1"/>
      <c r="D25" s="19"/>
      <c r="E25" s="1"/>
      <c r="F25" s="1"/>
      <c r="G25" s="1"/>
      <c r="H25" s="19"/>
      <c r="I25" s="19"/>
      <c r="J25" s="19"/>
      <c r="K25" s="19"/>
      <c r="L25" s="19"/>
      <c r="M25" s="19"/>
      <c r="N25" s="19"/>
    </row>
    <row r="26" spans="1:14" x14ac:dyDescent="0.2">
      <c r="B26" s="102" t="s">
        <v>74</v>
      </c>
      <c r="C26" s="102"/>
      <c r="D26" s="102"/>
      <c r="E26" s="141">
        <v>100</v>
      </c>
      <c r="F26" s="102" t="s">
        <v>66</v>
      </c>
      <c r="G26" s="103" t="s">
        <v>64</v>
      </c>
      <c r="H26" s="103"/>
      <c r="I26" s="103"/>
      <c r="J26" s="142">
        <f>0.5*E26*0.3048/(SIN(0.5*ABS(E27)/180*PI()))</f>
        <v>349.38592494105302</v>
      </c>
      <c r="K26" s="103" t="s">
        <v>576</v>
      </c>
      <c r="L26" s="19"/>
      <c r="M26" s="19"/>
      <c r="N26" s="19"/>
    </row>
    <row r="27" spans="1:14" x14ac:dyDescent="0.2">
      <c r="B27" s="102" t="s">
        <v>65</v>
      </c>
      <c r="C27" s="102"/>
      <c r="D27" s="102"/>
      <c r="E27" s="141">
        <v>5</v>
      </c>
      <c r="F27" s="102" t="s">
        <v>1076</v>
      </c>
      <c r="G27" s="103" t="s">
        <v>63</v>
      </c>
      <c r="H27" s="103"/>
      <c r="I27" s="103"/>
      <c r="J27" s="142">
        <f>ABS(E27)</f>
        <v>5</v>
      </c>
      <c r="K27" s="103" t="s">
        <v>1076</v>
      </c>
      <c r="L27" s="19"/>
      <c r="M27" s="19"/>
      <c r="N27" s="19"/>
    </row>
    <row r="28" spans="1:14" x14ac:dyDescent="0.2">
      <c r="B28" s="40" t="s">
        <v>395</v>
      </c>
      <c r="C28" s="1"/>
      <c r="D28" s="19"/>
      <c r="E28" s="1"/>
      <c r="F28" s="1"/>
      <c r="G28" s="1"/>
      <c r="H28" s="19"/>
      <c r="I28" s="19"/>
      <c r="J28" s="19"/>
      <c r="K28" s="19"/>
      <c r="L28" s="19"/>
      <c r="M28" s="19"/>
      <c r="N28" s="19"/>
    </row>
    <row r="29" spans="1:14" x14ac:dyDescent="0.2">
      <c r="C29" s="1"/>
      <c r="D29" s="19"/>
      <c r="E29" s="1"/>
      <c r="F29" s="1"/>
      <c r="G29" s="1"/>
      <c r="H29" s="19"/>
      <c r="I29" s="19"/>
      <c r="J29" s="19"/>
      <c r="K29" s="19"/>
      <c r="L29" s="19"/>
      <c r="M29" s="19"/>
      <c r="N29" s="19"/>
    </row>
    <row r="30" spans="1:14" x14ac:dyDescent="0.2">
      <c r="A30" s="82" t="s">
        <v>687</v>
      </c>
      <c r="B30" s="11"/>
      <c r="C30" s="11"/>
      <c r="D30" s="10"/>
      <c r="E30" s="70">
        <v>200</v>
      </c>
      <c r="F30" t="s">
        <v>1202</v>
      </c>
      <c r="G30" s="1"/>
      <c r="H30" s="19"/>
      <c r="I30" s="19"/>
      <c r="J30" s="19"/>
      <c r="K30" s="19"/>
      <c r="L30" s="19"/>
      <c r="M30" s="19"/>
      <c r="N30" s="19"/>
    </row>
    <row r="32" spans="1:14" x14ac:dyDescent="0.2">
      <c r="A32" s="82" t="s">
        <v>1007</v>
      </c>
      <c r="B32" s="82"/>
      <c r="C32" s="82"/>
      <c r="D32" s="82"/>
      <c r="E32" s="82"/>
      <c r="F32" s="82"/>
    </row>
    <row r="34" spans="1:11" x14ac:dyDescent="0.2">
      <c r="A34" t="s">
        <v>1008</v>
      </c>
    </row>
    <row r="35" spans="1:11" x14ac:dyDescent="0.2">
      <c r="B35" t="s">
        <v>1016</v>
      </c>
    </row>
    <row r="37" spans="1:11" x14ac:dyDescent="0.2">
      <c r="A37" s="82" t="s">
        <v>1017</v>
      </c>
      <c r="B37" s="11"/>
      <c r="C37" s="11"/>
      <c r="D37" s="10"/>
      <c r="E37" s="70">
        <v>20</v>
      </c>
      <c r="F37" t="s">
        <v>576</v>
      </c>
    </row>
    <row r="39" spans="1:11" x14ac:dyDescent="0.2">
      <c r="B39" s="33" t="s">
        <v>1081</v>
      </c>
    </row>
    <row r="40" spans="1:11" x14ac:dyDescent="0.2">
      <c r="B40" s="41" t="s">
        <v>402</v>
      </c>
      <c r="E40" s="13" t="str">
        <f>T(IF(E37&gt;4*E30,"RADIUS IS TOO SMALL! USE LARGER TURN RADIUS","ok"))</f>
        <v>ok</v>
      </c>
      <c r="F40" s="13"/>
      <c r="I40" s="77"/>
    </row>
    <row r="41" spans="1:11" hidden="1" x14ac:dyDescent="0.2">
      <c r="B41" s="41"/>
      <c r="F41" s="13"/>
    </row>
    <row r="42" spans="1:11" s="1" customFormat="1" hidden="1" x14ac:dyDescent="0.2">
      <c r="B42" s="1" t="s">
        <v>403</v>
      </c>
      <c r="D42" s="1">
        <f>ACOS(1-E37/E30/4)</f>
        <v>0.2240752853018193</v>
      </c>
      <c r="E42" s="1" t="s">
        <v>61</v>
      </c>
      <c r="F42" s="1" t="s">
        <v>459</v>
      </c>
      <c r="G42" s="1">
        <f>180/PI()*D42</f>
        <v>12.838568140984055</v>
      </c>
      <c r="H42" s="1" t="s">
        <v>1076</v>
      </c>
    </row>
    <row r="43" spans="1:11" s="1" customFormat="1" hidden="1" x14ac:dyDescent="0.2">
      <c r="C43" s="1" t="s">
        <v>459</v>
      </c>
      <c r="D43" s="1">
        <f>ROUND(D42,3)</f>
        <v>0.224</v>
      </c>
      <c r="E43" s="1" t="s">
        <v>404</v>
      </c>
      <c r="G43" s="1" t="s">
        <v>263</v>
      </c>
      <c r="I43" s="1">
        <f>4*E30*(1-COS(D43))</f>
        <v>19.986619202497824</v>
      </c>
    </row>
    <row r="44" spans="1:11" s="1" customFormat="1" hidden="1" x14ac:dyDescent="0.2"/>
    <row r="45" spans="1:11" s="1" customFormat="1" hidden="1" x14ac:dyDescent="0.2">
      <c r="B45" s="1" t="s">
        <v>405</v>
      </c>
      <c r="D45" s="1">
        <f>2*E30*SIN(D43)</f>
        <v>88.852582653588158</v>
      </c>
      <c r="E45" s="1" t="s">
        <v>576</v>
      </c>
    </row>
    <row r="46" spans="1:11" s="28" customFormat="1" ht="13.5" thickBot="1" x14ac:dyDescent="0.25">
      <c r="G46" s="30"/>
      <c r="H46" s="30"/>
      <c r="I46" s="165"/>
      <c r="J46" s="30"/>
      <c r="K46" s="30"/>
    </row>
    <row r="47" spans="1:11" s="100" customFormat="1" x14ac:dyDescent="0.2">
      <c r="A47" s="99" t="s">
        <v>13</v>
      </c>
    </row>
    <row r="49" spans="1:11" x14ac:dyDescent="0.2">
      <c r="A49" s="56" t="s">
        <v>877</v>
      </c>
      <c r="B49" s="180" t="s">
        <v>407</v>
      </c>
      <c r="C49" s="74">
        <f>-D43</f>
        <v>-0.224</v>
      </c>
      <c r="D49" t="s">
        <v>61</v>
      </c>
    </row>
    <row r="50" spans="1:11" x14ac:dyDescent="0.2">
      <c r="B50" s="181" t="s">
        <v>1009</v>
      </c>
      <c r="C50" s="88"/>
    </row>
    <row r="51" spans="1:11" x14ac:dyDescent="0.2">
      <c r="B51" s="181"/>
      <c r="C51" s="88"/>
    </row>
    <row r="52" spans="1:11" x14ac:dyDescent="0.2">
      <c r="B52" s="180" t="s">
        <v>264</v>
      </c>
      <c r="C52" s="88"/>
      <c r="J52" s="38">
        <f>I43</f>
        <v>19.986619202497824</v>
      </c>
      <c r="K52" t="s">
        <v>576</v>
      </c>
    </row>
    <row r="53" spans="1:11" x14ac:dyDescent="0.2">
      <c r="B53" s="88"/>
      <c r="C53" s="88"/>
    </row>
    <row r="54" spans="1:11" x14ac:dyDescent="0.2">
      <c r="B54" s="89" t="s">
        <v>1010</v>
      </c>
      <c r="C54" s="88"/>
      <c r="J54" s="38">
        <f>D45</f>
        <v>88.852582653588158</v>
      </c>
      <c r="K54" t="s">
        <v>576</v>
      </c>
    </row>
    <row r="55" spans="1:11" x14ac:dyDescent="0.2">
      <c r="B55" s="89"/>
      <c r="C55" s="89" t="s">
        <v>406</v>
      </c>
    </row>
    <row r="56" spans="1:11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workbookViewId="0">
      <selection activeCell="A2" sqref="A2"/>
    </sheetView>
  </sheetViews>
  <sheetFormatPr defaultRowHeight="12.75" x14ac:dyDescent="0.2"/>
  <sheetData>
    <row r="1" spans="1:6" s="5" customFormat="1" x14ac:dyDescent="0.2">
      <c r="A1" s="14" t="s">
        <v>1357</v>
      </c>
      <c r="B1" s="14"/>
      <c r="C1" s="14"/>
      <c r="D1" s="14"/>
      <c r="E1" s="14"/>
      <c r="F1" s="14"/>
    </row>
    <row r="3" spans="1:6" x14ac:dyDescent="0.2">
      <c r="A3" s="33" t="s">
        <v>1358</v>
      </c>
    </row>
    <row r="4" spans="1:6" x14ac:dyDescent="0.2">
      <c r="B4" t="s">
        <v>75</v>
      </c>
    </row>
    <row r="5" spans="1:6" x14ac:dyDescent="0.2">
      <c r="B5" t="s">
        <v>76</v>
      </c>
    </row>
    <row r="6" spans="1:6" x14ac:dyDescent="0.2">
      <c r="B6" t="s">
        <v>77</v>
      </c>
    </row>
    <row r="7" spans="1:6" x14ac:dyDescent="0.2">
      <c r="B7" t="s">
        <v>1359</v>
      </c>
    </row>
    <row r="9" spans="1:6" x14ac:dyDescent="0.2">
      <c r="A9" t="s">
        <v>1350</v>
      </c>
      <c r="B9" s="3" t="s">
        <v>1351</v>
      </c>
    </row>
    <row r="10" spans="1:6" x14ac:dyDescent="0.2">
      <c r="B10" s="3" t="s">
        <v>1352</v>
      </c>
    </row>
    <row r="11" spans="1:6" x14ac:dyDescent="0.2">
      <c r="A11" s="41"/>
      <c r="B11" t="s">
        <v>1353</v>
      </c>
    </row>
    <row r="13" spans="1:6" x14ac:dyDescent="0.2">
      <c r="A13" t="s">
        <v>1356</v>
      </c>
    </row>
    <row r="14" spans="1:6" s="28" customFormat="1" ht="13.5" thickBot="1" x14ac:dyDescent="0.25"/>
    <row r="15" spans="1:6" s="27" customFormat="1" x14ac:dyDescent="0.2">
      <c r="A15" s="8" t="s">
        <v>544</v>
      </c>
      <c r="B15" s="8"/>
      <c r="C15" s="8"/>
      <c r="D15" s="8"/>
      <c r="E15" s="8"/>
      <c r="F15" s="8"/>
    </row>
    <row r="17" spans="1:26" x14ac:dyDescent="0.2">
      <c r="A17" s="82" t="s">
        <v>1354</v>
      </c>
      <c r="B17" s="11"/>
      <c r="C17" s="11"/>
      <c r="D17" s="11"/>
      <c r="E17" s="11"/>
    </row>
    <row r="18" spans="1:26" x14ac:dyDescent="0.2">
      <c r="O18" s="19" t="s">
        <v>937</v>
      </c>
      <c r="P18" s="19" t="s">
        <v>938</v>
      </c>
      <c r="Q18" s="19" t="s">
        <v>939</v>
      </c>
      <c r="R18" s="19" t="s">
        <v>940</v>
      </c>
      <c r="S18" s="1"/>
      <c r="T18" s="1"/>
      <c r="U18" s="1"/>
      <c r="V18" s="34"/>
      <c r="W18" s="1"/>
      <c r="X18" s="34"/>
      <c r="Y18" s="34"/>
      <c r="Z18" s="1"/>
    </row>
    <row r="19" spans="1:26" x14ac:dyDescent="0.2">
      <c r="B19" s="82" t="s">
        <v>342</v>
      </c>
      <c r="C19" s="11"/>
      <c r="D19" s="11"/>
      <c r="E19" s="11"/>
      <c r="F19" s="11"/>
      <c r="G19" s="11"/>
      <c r="H19" s="11"/>
      <c r="I19" s="67" t="s">
        <v>1338</v>
      </c>
      <c r="N19" s="1" t="s">
        <v>936</v>
      </c>
      <c r="O19" s="19">
        <f>VALUE(MID(I19,1,O20-1))</f>
        <v>-7.8710800000000008E-3</v>
      </c>
      <c r="P19" s="19">
        <f>VALUE(MID(I19,O20+1,P20-O20-1))</f>
        <v>-0.95338999999999996</v>
      </c>
      <c r="Q19" s="19">
        <f>VALUE(MID(I19,P20+1,Q20-P20-1))</f>
        <v>2.4965000000000001E-2</v>
      </c>
      <c r="R19" s="19">
        <f>VALUE(MID(I19,Q20+1,R20-Q20))</f>
        <v>0.30060399999999998</v>
      </c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42"/>
      <c r="B20" t="s">
        <v>175</v>
      </c>
      <c r="I20" s="2"/>
      <c r="O20" s="1">
        <f>SEARCH(" ",I19,1)</f>
        <v>12</v>
      </c>
      <c r="P20" s="1">
        <f>SEARCH(" ",I19,O20+1)</f>
        <v>21</v>
      </c>
      <c r="Q20" s="1">
        <f>SEARCH(" ",I19,P20+1)</f>
        <v>30</v>
      </c>
      <c r="R20" s="1">
        <f>LEN(I19)</f>
        <v>38</v>
      </c>
      <c r="S20" s="19"/>
      <c r="T20" s="2"/>
      <c r="U20" s="2"/>
      <c r="V20" s="2"/>
      <c r="W20" s="2"/>
      <c r="X20" s="2"/>
      <c r="Y20" s="2"/>
      <c r="Z20" s="2"/>
    </row>
    <row r="22" spans="1:26" x14ac:dyDescent="0.2">
      <c r="G22" t="s">
        <v>698</v>
      </c>
    </row>
    <row r="23" spans="1:26" x14ac:dyDescent="0.2">
      <c r="B23" s="82" t="s">
        <v>702</v>
      </c>
      <c r="C23" s="11"/>
      <c r="D23" s="11"/>
      <c r="E23" s="11"/>
      <c r="F23" s="11"/>
      <c r="G23" s="11"/>
      <c r="H23" s="11"/>
      <c r="I23" s="67" t="s">
        <v>1339</v>
      </c>
      <c r="L23" s="19">
        <f>VALUE(MID(I23,1,L24-1))</f>
        <v>-440.108</v>
      </c>
      <c r="M23" s="19">
        <f>VALUE(MID(I23,L24+1,M24-L24-1))</f>
        <v>5.5449000000000002</v>
      </c>
      <c r="N23" s="19">
        <f>VALUE(MID(I23,M24+1,N24-M24))</f>
        <v>-179.11799999999999</v>
      </c>
    </row>
    <row r="24" spans="1:26" x14ac:dyDescent="0.2">
      <c r="B24" t="s">
        <v>175</v>
      </c>
      <c r="I24" s="2"/>
      <c r="L24" s="1">
        <f>SEARCH(" ",I23,1)</f>
        <v>9</v>
      </c>
      <c r="M24" s="1">
        <f>SEARCH(" ",I23,L24+1)</f>
        <v>16</v>
      </c>
      <c r="N24" s="1">
        <f>LEN(I23)</f>
        <v>24</v>
      </c>
    </row>
    <row r="26" spans="1:26" x14ac:dyDescent="0.2">
      <c r="B26" s="82" t="s">
        <v>703</v>
      </c>
      <c r="C26" s="82"/>
      <c r="D26" s="82"/>
      <c r="E26" s="82"/>
      <c r="F26" s="82"/>
      <c r="G26" s="82"/>
      <c r="H26" s="82"/>
      <c r="I26" s="70" t="s">
        <v>1337</v>
      </c>
      <c r="J26" s="129" t="str">
        <f>T(IF(I26="L","LEFT CURVE selected",IF(I26="S","STRAIGHT SECTION selected",IF(I26="R","RIGHT CURVE selected","NO SELECTION MADE"))))</f>
        <v>RIGHT CURVE selected</v>
      </c>
    </row>
    <row r="28" spans="1:26" x14ac:dyDescent="0.2">
      <c r="A28" s="13" t="s">
        <v>714</v>
      </c>
      <c r="B28" s="82" t="s">
        <v>706</v>
      </c>
      <c r="C28" s="82"/>
      <c r="D28" s="82"/>
      <c r="E28" s="82"/>
      <c r="F28" s="82"/>
      <c r="G28" s="82"/>
      <c r="H28" s="82"/>
      <c r="I28" s="82"/>
      <c r="J28" s="82"/>
    </row>
    <row r="29" spans="1:26" x14ac:dyDescent="0.2">
      <c r="C29" t="s">
        <v>734</v>
      </c>
    </row>
    <row r="30" spans="1:26" x14ac:dyDescent="0.2">
      <c r="C30" t="s">
        <v>737</v>
      </c>
    </row>
    <row r="32" spans="1:26" x14ac:dyDescent="0.2">
      <c r="C32" s="82" t="s">
        <v>704</v>
      </c>
      <c r="D32" s="11"/>
      <c r="E32" s="11"/>
      <c r="F32" s="10"/>
      <c r="G32" s="70">
        <v>500</v>
      </c>
      <c r="H32" t="s">
        <v>1202</v>
      </c>
      <c r="I32" s="1"/>
      <c r="J32" s="19"/>
      <c r="K32" s="19"/>
      <c r="L32" s="19"/>
    </row>
    <row r="33" spans="1:12" x14ac:dyDescent="0.2">
      <c r="C33" s="47"/>
    </row>
    <row r="34" spans="1:12" x14ac:dyDescent="0.2">
      <c r="C34" s="87" t="s">
        <v>705</v>
      </c>
      <c r="D34" s="11"/>
      <c r="E34" s="11"/>
      <c r="F34" s="10"/>
      <c r="G34" s="70">
        <v>10</v>
      </c>
      <c r="H34" t="s">
        <v>91</v>
      </c>
      <c r="J34" s="108" t="s">
        <v>459</v>
      </c>
      <c r="K34" s="142">
        <f>ABS(G34)/180*PI()</f>
        <v>0.17453292519943295</v>
      </c>
      <c r="L34" s="103" t="s">
        <v>61</v>
      </c>
    </row>
    <row r="36" spans="1:12" x14ac:dyDescent="0.2">
      <c r="A36" s="13" t="s">
        <v>715</v>
      </c>
      <c r="B36" s="82" t="s">
        <v>707</v>
      </c>
      <c r="C36" s="82"/>
      <c r="D36" s="82"/>
      <c r="E36" s="82"/>
      <c r="F36" s="82"/>
      <c r="G36" s="82"/>
      <c r="H36" s="82"/>
    </row>
    <row r="37" spans="1:12" x14ac:dyDescent="0.2">
      <c r="C37" t="s">
        <v>735</v>
      </c>
    </row>
    <row r="38" spans="1:12" x14ac:dyDescent="0.2">
      <c r="C38" t="s">
        <v>736</v>
      </c>
    </row>
    <row r="40" spans="1:12" x14ac:dyDescent="0.2">
      <c r="C40" s="82" t="s">
        <v>708</v>
      </c>
      <c r="D40" s="11"/>
      <c r="E40" s="11"/>
      <c r="F40" s="10"/>
      <c r="G40" s="70">
        <v>100</v>
      </c>
      <c r="H40" t="s">
        <v>1202</v>
      </c>
    </row>
    <row r="42" spans="1:12" x14ac:dyDescent="0.2">
      <c r="A42" s="13" t="s">
        <v>715</v>
      </c>
      <c r="B42" s="82" t="s">
        <v>709</v>
      </c>
      <c r="C42" s="82"/>
      <c r="D42" s="82"/>
      <c r="E42" s="82"/>
      <c r="F42" s="82"/>
      <c r="G42" s="82"/>
      <c r="H42" s="82"/>
    </row>
    <row r="44" spans="1:12" x14ac:dyDescent="0.2">
      <c r="A44" s="82" t="s">
        <v>1355</v>
      </c>
      <c r="B44" s="82"/>
      <c r="C44" s="82"/>
      <c r="D44" s="82"/>
      <c r="E44" s="82"/>
    </row>
    <row r="46" spans="1:12" x14ac:dyDescent="0.2">
      <c r="B46" s="82" t="s">
        <v>710</v>
      </c>
      <c r="C46" s="82"/>
      <c r="D46" s="82"/>
      <c r="E46" s="82"/>
      <c r="F46" s="82"/>
      <c r="G46" s="82"/>
      <c r="H46" s="82"/>
      <c r="I46" s="70" t="s">
        <v>1337</v>
      </c>
      <c r="J46" s="129" t="str">
        <f>T(IF(I46="L","LEFT CURVE selected",IF(I46="S","STRAIGHT SECTION selected",IF(I46="R","RIGHT CURVE selected","NO SELECTION MADE"))))</f>
        <v>RIGHT CURVE selected</v>
      </c>
    </row>
    <row r="48" spans="1:12" x14ac:dyDescent="0.2">
      <c r="A48" s="13" t="s">
        <v>714</v>
      </c>
      <c r="B48" s="82" t="s">
        <v>713</v>
      </c>
      <c r="C48" s="82"/>
      <c r="D48" s="82"/>
      <c r="E48" s="82"/>
      <c r="F48" s="82"/>
      <c r="G48" s="82"/>
      <c r="H48" s="82"/>
      <c r="I48" s="82"/>
      <c r="J48" s="82"/>
    </row>
    <row r="49" spans="1:14" x14ac:dyDescent="0.2">
      <c r="C49" t="s">
        <v>734</v>
      </c>
    </row>
    <row r="50" spans="1:14" x14ac:dyDescent="0.2">
      <c r="C50" t="s">
        <v>737</v>
      </c>
    </row>
    <row r="52" spans="1:14" x14ac:dyDescent="0.2">
      <c r="C52" s="82" t="s">
        <v>711</v>
      </c>
      <c r="D52" s="11"/>
      <c r="E52" s="11"/>
      <c r="F52" s="10"/>
      <c r="G52" s="70">
        <v>500</v>
      </c>
      <c r="H52" t="s">
        <v>1202</v>
      </c>
      <c r="I52" s="1"/>
      <c r="J52" s="19"/>
      <c r="K52" s="19"/>
      <c r="L52" s="19"/>
    </row>
    <row r="53" spans="1:14" x14ac:dyDescent="0.2">
      <c r="C53" s="47"/>
    </row>
    <row r="54" spans="1:14" x14ac:dyDescent="0.2">
      <c r="C54" s="87" t="s">
        <v>712</v>
      </c>
      <c r="D54" s="11"/>
      <c r="E54" s="11"/>
      <c r="F54" s="10"/>
      <c r="G54" s="70">
        <v>5</v>
      </c>
      <c r="H54" t="s">
        <v>91</v>
      </c>
      <c r="J54" s="108" t="s">
        <v>459</v>
      </c>
      <c r="K54" s="142">
        <f>ABS(G54)/180*PI()</f>
        <v>8.7266462599716474E-2</v>
      </c>
      <c r="L54" s="103" t="s">
        <v>61</v>
      </c>
    </row>
    <row r="56" spans="1:14" x14ac:dyDescent="0.2">
      <c r="A56" s="13" t="s">
        <v>715</v>
      </c>
      <c r="B56" s="82" t="s">
        <v>96</v>
      </c>
      <c r="C56" s="82"/>
      <c r="D56" s="82"/>
      <c r="E56" s="82"/>
      <c r="F56" s="82"/>
      <c r="G56" s="82"/>
      <c r="H56" s="82"/>
    </row>
    <row r="57" spans="1:14" x14ac:dyDescent="0.2">
      <c r="I57" s="59"/>
    </row>
    <row r="58" spans="1:14" hidden="1" x14ac:dyDescent="0.2">
      <c r="A58" s="4" t="s">
        <v>1333</v>
      </c>
      <c r="B58" s="4"/>
      <c r="C58" s="4"/>
    </row>
    <row r="59" spans="1:14" hidden="1" x14ac:dyDescent="0.2">
      <c r="A59" s="1"/>
      <c r="B59" s="1" t="s">
        <v>720</v>
      </c>
      <c r="C59" s="1"/>
      <c r="D59" s="1">
        <v>0</v>
      </c>
      <c r="E59" s="1">
        <f>J60</f>
        <v>8.7155742747658166E-2</v>
      </c>
      <c r="F59" s="1">
        <v>0</v>
      </c>
      <c r="G59" s="1">
        <f>J59</f>
        <v>0.99619469809174555</v>
      </c>
      <c r="H59" s="1"/>
      <c r="I59" s="1" t="s">
        <v>721</v>
      </c>
      <c r="J59" s="1">
        <f>COS(K34/2)</f>
        <v>0.99619469809174555</v>
      </c>
      <c r="K59" s="1"/>
      <c r="L59" s="1"/>
      <c r="M59" s="1"/>
      <c r="N59" s="1"/>
    </row>
    <row r="60" spans="1:14" hidden="1" x14ac:dyDescent="0.2">
      <c r="A60" s="1"/>
      <c r="B60" s="1" t="s">
        <v>723</v>
      </c>
      <c r="C60" s="1"/>
      <c r="D60" s="1">
        <f>O19</f>
        <v>-7.8710800000000008E-3</v>
      </c>
      <c r="E60" s="1">
        <f>P19</f>
        <v>-0.95338999999999996</v>
      </c>
      <c r="F60" s="1">
        <f>Q19</f>
        <v>2.4965000000000001E-2</v>
      </c>
      <c r="G60" s="1">
        <f>R19</f>
        <v>0.30060399999999998</v>
      </c>
      <c r="H60" s="1"/>
      <c r="I60" s="1" t="s">
        <v>722</v>
      </c>
      <c r="J60" s="1">
        <f>SIN(K34/2)</f>
        <v>8.7155742747658166E-2</v>
      </c>
      <c r="K60" s="1"/>
      <c r="L60" s="1"/>
      <c r="M60" s="1"/>
      <c r="N60" s="1"/>
    </row>
    <row r="61" spans="1:14" hidden="1" x14ac:dyDescent="0.2">
      <c r="A61" s="1" t="s">
        <v>1340</v>
      </c>
      <c r="B61" s="1" t="s">
        <v>1107</v>
      </c>
      <c r="C61" s="1"/>
      <c r="D61" s="1">
        <f>D59*G60-E59*F60+F59*E60+G59*D60</f>
        <v>-1.0016971281951264E-2</v>
      </c>
      <c r="E61" s="1">
        <f>D59*F60+E59*G60-F59*D60+G59*E60</f>
        <v>-0.9235626983207722</v>
      </c>
      <c r="F61" s="1">
        <f>-D59*E60+E59*D60+F59*G60+G59*F60</f>
        <v>2.4183990814234189E-2</v>
      </c>
      <c r="G61" s="1">
        <f>-D59*D60-E59*E60-F59*F60+G59*G60</f>
        <v>0.38255352460336089</v>
      </c>
      <c r="H61" s="163" t="s">
        <v>459</v>
      </c>
      <c r="I61" s="37" t="str">
        <f>CONCATENATE(TEXT(D61,"0.000000")," ",TEXT(E61,"0.000000")," ",TEXT(F61,"0.000000")," ",TEXT(G61,"0.000000"))</f>
        <v>-0.010017 -0.923563 0.024184 0.382554</v>
      </c>
      <c r="J61" s="1"/>
      <c r="K61" s="1"/>
      <c r="L61" s="1"/>
      <c r="M61" s="20" t="s">
        <v>227</v>
      </c>
      <c r="N61" s="1">
        <f>D61*D61+E61*E61+F61*F61+G61*G61</f>
        <v>1.0000004620413663</v>
      </c>
    </row>
    <row r="62" spans="1:14" hidden="1" x14ac:dyDescent="0.2">
      <c r="A62" s="1"/>
      <c r="B62" s="1" t="s">
        <v>1328</v>
      </c>
      <c r="C62" s="1"/>
      <c r="D62" s="1">
        <v>0</v>
      </c>
      <c r="E62" s="1">
        <f>J63</f>
        <v>-4.3619387365336E-2</v>
      </c>
      <c r="F62" s="1">
        <v>0</v>
      </c>
      <c r="G62" s="1">
        <f>J62</f>
        <v>0.9990482215818578</v>
      </c>
      <c r="H62" s="1"/>
      <c r="I62" s="1" t="s">
        <v>724</v>
      </c>
      <c r="J62" s="1">
        <f>COS(K54/2)</f>
        <v>0.9990482215818578</v>
      </c>
      <c r="K62" s="1"/>
      <c r="L62" s="1"/>
      <c r="M62" s="1"/>
      <c r="N62" s="1"/>
    </row>
    <row r="63" spans="1:14" hidden="1" x14ac:dyDescent="0.2">
      <c r="A63" s="1"/>
      <c r="B63" s="1" t="s">
        <v>1108</v>
      </c>
      <c r="C63" s="1"/>
      <c r="D63" s="1">
        <f>D62*G61-E62*F61+F62*E61+G62*D61</f>
        <v>-8.9525464815041443E-3</v>
      </c>
      <c r="E63" s="1">
        <f>D62*F61+E62*G61-F62*D61+G62*E61</f>
        <v>-0.93937042165435791</v>
      </c>
      <c r="F63" s="1">
        <f>-D62*E61+E62*D61+F62*G61+G62*F61</f>
        <v>2.459790716428753E-2</v>
      </c>
      <c r="G63" s="1">
        <f>-D62*D61-E62*E61-F62*F61+G62*G61</f>
        <v>0.3419041793206305</v>
      </c>
      <c r="H63" s="1"/>
      <c r="I63" s="1" t="s">
        <v>733</v>
      </c>
      <c r="J63" s="1">
        <f>-SIN(K54/2)</f>
        <v>-4.3619387365336E-2</v>
      </c>
      <c r="K63" s="1"/>
      <c r="L63" s="1"/>
      <c r="M63" s="1"/>
      <c r="N63" s="1"/>
    </row>
    <row r="64" spans="1:14" hidden="1" x14ac:dyDescent="0.2">
      <c r="A64" s="1" t="s">
        <v>946</v>
      </c>
      <c r="B64" s="1" t="s">
        <v>725</v>
      </c>
      <c r="C64" s="1"/>
      <c r="D64" s="1">
        <f>-F63</f>
        <v>-2.459790716428753E-2</v>
      </c>
      <c r="E64" s="1">
        <f>-G63</f>
        <v>-0.3419041793206305</v>
      </c>
      <c r="F64" s="1">
        <f>D63</f>
        <v>-8.9525464815041443E-3</v>
      </c>
      <c r="G64" s="1">
        <f>E63</f>
        <v>-0.93937042165435791</v>
      </c>
      <c r="H64" s="163" t="s">
        <v>459</v>
      </c>
      <c r="I64" s="37" t="str">
        <f>CONCATENATE(TEXT(D64,"0.000000")," ",TEXT(E64,"0.000000")," ",TEXT(F64,"0.000000")," ",TEXT(G64,"0.000000"))</f>
        <v>-0.024598 -0.341904 -0.008953 -0.939370</v>
      </c>
      <c r="J64" s="1"/>
      <c r="K64" s="1"/>
      <c r="L64" s="1"/>
      <c r="M64" s="20" t="s">
        <v>228</v>
      </c>
      <c r="N64" s="1">
        <f>D64*D64+E64*E64+F64*F64+G64*G64</f>
        <v>1.0000004620413665</v>
      </c>
    </row>
    <row r="65" spans="1:14" hidden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idden="1" x14ac:dyDescent="0.2">
      <c r="A66" s="1" t="s">
        <v>1340</v>
      </c>
      <c r="B66" s="1" t="s">
        <v>731</v>
      </c>
      <c r="C66" s="1"/>
      <c r="D66" s="1">
        <f>L23</f>
        <v>-440.108</v>
      </c>
      <c r="E66" s="1">
        <f>M23</f>
        <v>5.5449000000000002</v>
      </c>
      <c r="F66" s="1">
        <f>N23</f>
        <v>-179.11799999999999</v>
      </c>
      <c r="G66" s="1"/>
      <c r="H66" s="1"/>
      <c r="I66" s="1"/>
      <c r="J66" s="1"/>
      <c r="K66" s="1"/>
      <c r="L66" s="1"/>
      <c r="M66" s="1"/>
      <c r="N66" s="1"/>
    </row>
    <row r="67" spans="1:14" hidden="1" x14ac:dyDescent="0.2">
      <c r="A67" s="1"/>
      <c r="B67" s="1" t="s">
        <v>795</v>
      </c>
      <c r="C67" s="1"/>
      <c r="D67" s="1">
        <f>O19*O19-P19*P19-Q19*Q19+R19*R19</f>
        <v>-0.81915102460863343</v>
      </c>
      <c r="E67" s="1">
        <f>2*O19*P19-2*Q19*R19</f>
        <v>-7.3979759999780181E-7</v>
      </c>
      <c r="F67" s="1">
        <f>2*O19*Q19+2*P19*R19</f>
        <v>-0.57357869814439999</v>
      </c>
      <c r="G67" s="20" t="s">
        <v>719</v>
      </c>
      <c r="H67" s="1">
        <f>1-COS(K34)</f>
        <v>1.519224698779198E-2</v>
      </c>
      <c r="I67" s="1"/>
      <c r="J67" s="1"/>
      <c r="K67" s="1"/>
      <c r="L67" s="1"/>
      <c r="M67" s="1"/>
      <c r="N67" s="1"/>
    </row>
    <row r="68" spans="1:14" hidden="1" x14ac:dyDescent="0.2">
      <c r="A68" s="1"/>
      <c r="B68" s="1" t="s">
        <v>794</v>
      </c>
      <c r="C68" s="1"/>
      <c r="D68" s="1">
        <f>2*O19*Q19-2*P19*R19</f>
        <v>0.57279269209559991</v>
      </c>
      <c r="E68" s="1">
        <f>2*O19*R19+2*P19*Q19</f>
        <v>-5.2334918964640001E-2</v>
      </c>
      <c r="F68" s="1">
        <f>-O19*O19-P19*P19+Q19*Q19+R19*R19</f>
        <v>-0.81802842995936642</v>
      </c>
      <c r="G68" s="20" t="s">
        <v>718</v>
      </c>
      <c r="H68" s="1">
        <f>SIN(K34)</f>
        <v>0.17364817766693033</v>
      </c>
      <c r="I68" s="1"/>
      <c r="J68" s="1"/>
      <c r="K68" s="1"/>
      <c r="L68" s="1"/>
      <c r="M68" s="1"/>
      <c r="N68" s="1"/>
    </row>
    <row r="69" spans="1:14" hidden="1" x14ac:dyDescent="0.2">
      <c r="A69" s="1"/>
      <c r="B69" s="1" t="s">
        <v>726</v>
      </c>
      <c r="C69" s="1"/>
      <c r="D69" s="1">
        <f>-G32*H67*D67+G32*H68*D68</f>
        <v>55.954575924746642</v>
      </c>
      <c r="E69" s="1">
        <f>-G32*H67*E67+G32*H68*E68</f>
        <v>-4.5439260336841745</v>
      </c>
      <c r="F69" s="1">
        <f>-G32*H67*F67+G32*H68*F68</f>
        <v>-66.667598446519108</v>
      </c>
      <c r="G69" s="1"/>
      <c r="H69" s="1"/>
      <c r="I69" s="1"/>
      <c r="J69" s="1"/>
      <c r="K69" s="1"/>
      <c r="L69" s="1"/>
      <c r="M69" s="1"/>
      <c r="N69" s="1"/>
    </row>
    <row r="70" spans="1:14" hidden="1" x14ac:dyDescent="0.2">
      <c r="A70" s="1"/>
      <c r="B70" s="1" t="s">
        <v>730</v>
      </c>
      <c r="C70" s="1"/>
      <c r="D70" s="1">
        <f>D66+D69</f>
        <v>-384.15342407525338</v>
      </c>
      <c r="E70" s="1">
        <f>E66+E69</f>
        <v>1.0009739663158257</v>
      </c>
      <c r="F70" s="1">
        <f>F66+F69</f>
        <v>-245.78559844651909</v>
      </c>
      <c r="G70" s="163" t="s">
        <v>459</v>
      </c>
      <c r="H70" s="37" t="str">
        <f>CONCATENATE(TEXT(D70,"0.000000")," ",TEXT(E70,"0.000000")," ",TEXT(F70,"0.000000"))</f>
        <v>-384.153424 1.000974 -245.785598</v>
      </c>
      <c r="I70" s="1"/>
      <c r="J70" s="1"/>
      <c r="K70" s="1"/>
      <c r="L70" s="1"/>
      <c r="M70" s="1"/>
      <c r="N70" s="1"/>
    </row>
    <row r="71" spans="1:14" hidden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idden="1" x14ac:dyDescent="0.2">
      <c r="A72" s="1" t="s">
        <v>946</v>
      </c>
      <c r="B72" s="1" t="s">
        <v>795</v>
      </c>
      <c r="C72" s="1"/>
      <c r="D72" s="1">
        <f>D64*D64-E64*E64-F64*F64+G64*G64</f>
        <v>0.76604323019053178</v>
      </c>
      <c r="E72" s="1">
        <f>2*D64*E64-2*F64*G64</f>
        <v>7.3979759999606709E-7</v>
      </c>
      <c r="F72" s="1">
        <f>2*D64*F64+2*E64*G64</f>
        <v>0.64278977400208781</v>
      </c>
      <c r="G72" s="20" t="s">
        <v>727</v>
      </c>
      <c r="H72" s="1">
        <f>1-COS(K54)</f>
        <v>3.8053019082544548E-3</v>
      </c>
      <c r="I72" s="1"/>
      <c r="J72" s="1"/>
      <c r="K72" s="1"/>
      <c r="L72" s="1"/>
      <c r="M72" s="1"/>
      <c r="N72" s="1"/>
    </row>
    <row r="73" spans="1:14" hidden="1" x14ac:dyDescent="0.2">
      <c r="A73" s="1"/>
      <c r="B73" s="1" t="s">
        <v>794</v>
      </c>
      <c r="C73" s="1"/>
      <c r="D73" s="1">
        <f>2*D64*F64-2*E64*G64</f>
        <v>-0.64190891837314368</v>
      </c>
      <c r="E73" s="1">
        <f>2*D64*G64+2*E64*F64</f>
        <v>5.2334918964640001E-2</v>
      </c>
      <c r="F73" s="1">
        <f>-D64*D64-E64*E64+F64*F64+G64*G64</f>
        <v>0.7649934122938129</v>
      </c>
      <c r="G73" s="20" t="s">
        <v>728</v>
      </c>
      <c r="H73" s="1">
        <f>SIN(K54)</f>
        <v>8.7155742747658166E-2</v>
      </c>
      <c r="I73" s="1"/>
      <c r="J73" s="1"/>
      <c r="K73" s="1"/>
      <c r="L73" s="1"/>
      <c r="M73" s="1"/>
      <c r="N73" s="1"/>
    </row>
    <row r="74" spans="1:14" hidden="1" x14ac:dyDescent="0.2">
      <c r="A74" s="1"/>
      <c r="B74" s="1" t="s">
        <v>729</v>
      </c>
      <c r="C74" s="1"/>
      <c r="D74" s="1">
        <f>-G52*H72*D72+G52*H73*D73</f>
        <v>-29.430537161403326</v>
      </c>
      <c r="E74" s="1">
        <f>-G52*H72*E72+G52*H73*E73</f>
        <v>2.2806429594242408</v>
      </c>
      <c r="F74" s="1">
        <f>-G52*H72*F72+G52*H73*F73</f>
        <v>32.113779945958079</v>
      </c>
      <c r="G74" s="1"/>
      <c r="H74" s="1"/>
      <c r="I74" s="1"/>
      <c r="J74" s="1"/>
      <c r="K74" s="1"/>
      <c r="L74" s="1"/>
      <c r="M74" s="1"/>
      <c r="N74" s="1"/>
    </row>
    <row r="75" spans="1:14" hidden="1" x14ac:dyDescent="0.2">
      <c r="A75" s="1"/>
      <c r="B75" s="1" t="s">
        <v>732</v>
      </c>
      <c r="C75" s="1"/>
      <c r="D75" s="1">
        <f>D70-D74</f>
        <v>-354.72288691385006</v>
      </c>
      <c r="E75" s="1">
        <f>E70-E74</f>
        <v>-1.2796689931084151</v>
      </c>
      <c r="F75" s="1">
        <f>F70-F74</f>
        <v>-277.89937839247716</v>
      </c>
      <c r="G75" s="163" t="s">
        <v>459</v>
      </c>
      <c r="H75" s="37" t="str">
        <f>CONCATENATE(TEXT(D75,"0.000000")," ",TEXT(E75,"0.000000")," ",TEXT(F75,"0.000000"))</f>
        <v>-354.722887 -1.279669 -277.899378</v>
      </c>
      <c r="I75" s="1"/>
      <c r="J75" s="1"/>
      <c r="K75" s="1"/>
      <c r="L75" s="1"/>
      <c r="M75" s="1"/>
      <c r="N75" s="1"/>
    </row>
    <row r="76" spans="1:14" hidden="1" x14ac:dyDescent="0.2"/>
    <row r="77" spans="1:14" hidden="1" x14ac:dyDescent="0.2">
      <c r="A77" s="4" t="s">
        <v>1329</v>
      </c>
      <c r="B77" s="4"/>
      <c r="C77" s="4"/>
    </row>
    <row r="78" spans="1:14" hidden="1" x14ac:dyDescent="0.2">
      <c r="A78" s="1" t="s">
        <v>1340</v>
      </c>
      <c r="B78" s="1" t="s">
        <v>1330</v>
      </c>
      <c r="C78" s="1"/>
      <c r="D78" s="1">
        <f>D60</f>
        <v>-7.8710800000000008E-3</v>
      </c>
      <c r="E78" s="1">
        <f>E60</f>
        <v>-0.95338999999999996</v>
      </c>
      <c r="F78" s="1">
        <f>F60</f>
        <v>2.4965000000000001E-2</v>
      </c>
      <c r="G78" s="1">
        <f>G60</f>
        <v>0.30060399999999998</v>
      </c>
      <c r="H78" s="163" t="s">
        <v>459</v>
      </c>
      <c r="I78" s="37" t="str">
        <f>CONCATENATE(TEXT(D78,"0.000000")," ",TEXT(E78,"0.000000")," ",TEXT(F78,"0.000000")," ",TEXT(G78,"0.000000"))</f>
        <v>-0.007871 -0.953390 0.024965 0.300604</v>
      </c>
      <c r="J78" s="1"/>
      <c r="K78" s="1"/>
      <c r="L78" s="1"/>
      <c r="M78" s="20" t="s">
        <v>227</v>
      </c>
      <c r="N78" s="1">
        <f>D78*D78+E78*E78+F78*F78+G78*G78</f>
        <v>1.0000004620413663</v>
      </c>
    </row>
    <row r="79" spans="1:14" hidden="1" x14ac:dyDescent="0.2">
      <c r="A79" s="1"/>
      <c r="B79" s="1" t="s">
        <v>1328</v>
      </c>
      <c r="C79" s="1"/>
      <c r="D79" s="1">
        <f>D62</f>
        <v>0</v>
      </c>
      <c r="E79" s="1">
        <f>E62</f>
        <v>-4.3619387365336E-2</v>
      </c>
      <c r="F79" s="1">
        <f>F62</f>
        <v>0</v>
      </c>
      <c r="G79" s="1">
        <f>G62</f>
        <v>0.9990482215818578</v>
      </c>
      <c r="H79" s="1"/>
      <c r="I79" s="1"/>
      <c r="J79" s="1"/>
      <c r="K79" s="1"/>
      <c r="L79" s="1"/>
      <c r="M79" s="1"/>
      <c r="N79" s="1"/>
    </row>
    <row r="80" spans="1:14" hidden="1" x14ac:dyDescent="0.2">
      <c r="A80" s="1"/>
      <c r="B80" s="1" t="s">
        <v>1331</v>
      </c>
      <c r="C80" s="1"/>
      <c r="D80" s="1">
        <f>D79*G78-E79*F78+F79*E78+G79*D78</f>
        <v>-6.7746304703529174E-3</v>
      </c>
      <c r="E80" s="1">
        <f>D79*F78+E79*G78-F79*D78+G79*E78</f>
        <v>-0.96559474629349684</v>
      </c>
      <c r="F80" s="1">
        <f>-D79*E78+E79*D78+F79*G78+G79*F78</f>
        <v>2.5284570539294629E-2</v>
      </c>
      <c r="G80" s="1">
        <f>-D79*D78-E79*E78-F79*F78+G79*G78</f>
        <v>0.25873160388015504</v>
      </c>
      <c r="H80" s="1"/>
      <c r="I80" s="1"/>
      <c r="J80" s="1"/>
      <c r="K80" s="1"/>
      <c r="L80" s="1"/>
      <c r="M80" s="1"/>
      <c r="N80" s="1"/>
    </row>
    <row r="81" spans="1:14" hidden="1" x14ac:dyDescent="0.2">
      <c r="A81" s="1" t="s">
        <v>946</v>
      </c>
      <c r="B81" s="1" t="s">
        <v>725</v>
      </c>
      <c r="C81" s="1"/>
      <c r="D81" s="1">
        <f>-F80</f>
        <v>-2.5284570539294629E-2</v>
      </c>
      <c r="E81" s="1">
        <f>-G80</f>
        <v>-0.25873160388015504</v>
      </c>
      <c r="F81" s="1">
        <f>D80</f>
        <v>-6.7746304703529174E-3</v>
      </c>
      <c r="G81" s="1">
        <f>E80</f>
        <v>-0.96559474629349684</v>
      </c>
      <c r="H81" s="163" t="s">
        <v>459</v>
      </c>
      <c r="I81" s="37" t="str">
        <f>CONCATENATE(TEXT(D81,"0.000000")," ",TEXT(E81,"0.000000")," ",TEXT(F81,"0.000000")," ",TEXT(G81,"0.000000"))</f>
        <v>-0.025285 -0.258732 -0.006775 -0.965595</v>
      </c>
      <c r="J81" s="1"/>
      <c r="K81" s="1"/>
      <c r="L81" s="1"/>
      <c r="M81" s="20" t="s">
        <v>228</v>
      </c>
      <c r="N81" s="1">
        <f>D81*D81+E81*E81+F81*F81+G81*G81</f>
        <v>1.0000004620413663</v>
      </c>
    </row>
    <row r="82" spans="1:14" hidden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idden="1" x14ac:dyDescent="0.2">
      <c r="A83" s="1" t="s">
        <v>1340</v>
      </c>
      <c r="B83" s="1" t="s">
        <v>731</v>
      </c>
      <c r="C83" s="1"/>
      <c r="D83" s="1">
        <f>D66</f>
        <v>-440.108</v>
      </c>
      <c r="E83" s="1">
        <f>E66</f>
        <v>5.5449000000000002</v>
      </c>
      <c r="F83" s="1">
        <f>F66</f>
        <v>-179.11799999999999</v>
      </c>
      <c r="G83" s="1"/>
      <c r="H83" s="1"/>
      <c r="I83" s="1"/>
      <c r="J83" s="1"/>
      <c r="K83" s="1"/>
      <c r="L83" s="1"/>
      <c r="M83" s="1"/>
      <c r="N83" s="1"/>
    </row>
    <row r="84" spans="1:14" hidden="1" x14ac:dyDescent="0.2">
      <c r="A84" s="1"/>
      <c r="B84" s="1" t="s">
        <v>1332</v>
      </c>
      <c r="C84" s="1"/>
      <c r="D84" s="1">
        <f>G40*(2*D78*F78-2*E78*G78)</f>
        <v>57.279269209559992</v>
      </c>
      <c r="E84" s="1">
        <f>G40*(2*D78*G78+2*E78*F78)</f>
        <v>-5.2334918964639998</v>
      </c>
      <c r="F84" s="1">
        <f>G40*(-D78*D78-E78*E78+F78*F78+G78*G78)</f>
        <v>-81.802842995936643</v>
      </c>
      <c r="G84" s="1"/>
      <c r="H84" s="1"/>
      <c r="I84" s="1"/>
      <c r="J84" s="1"/>
      <c r="K84" s="1"/>
      <c r="L84" s="1"/>
      <c r="M84" s="1"/>
      <c r="N84" s="1"/>
    </row>
    <row r="85" spans="1:14" hidden="1" x14ac:dyDescent="0.2">
      <c r="A85" s="1"/>
      <c r="B85" s="1" t="s">
        <v>730</v>
      </c>
      <c r="C85" s="1"/>
      <c r="D85" s="1">
        <f>D83+D84</f>
        <v>-382.82873079044003</v>
      </c>
      <c r="E85" s="1">
        <f>E83+E84</f>
        <v>0.31140810353600035</v>
      </c>
      <c r="F85" s="1">
        <f>F83+F84</f>
        <v>-260.92084299593665</v>
      </c>
      <c r="G85" s="163" t="s">
        <v>459</v>
      </c>
      <c r="H85" s="37" t="str">
        <f>CONCATENATE(TEXT(D85,"0.000000")," ",TEXT(E85,"0.000000")," ",TEXT(F85,"0.000000"))</f>
        <v>-382.828731 0.311408 -260.920843</v>
      </c>
      <c r="I85" s="1"/>
      <c r="J85" s="1"/>
      <c r="K85" s="1"/>
      <c r="L85" s="1"/>
      <c r="M85" s="1"/>
      <c r="N85" s="1"/>
    </row>
    <row r="86" spans="1:14" hidden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idden="1" x14ac:dyDescent="0.2">
      <c r="A87" s="1" t="s">
        <v>946</v>
      </c>
      <c r="B87" s="1" t="s">
        <v>795</v>
      </c>
      <c r="C87" s="1"/>
      <c r="D87" s="1">
        <f>D81*D81-E81*E81-F81*F81+G81*G81</f>
        <v>0.86602458511255176</v>
      </c>
      <c r="E87" s="1">
        <f>2*D81*E81-2*F81*G81</f>
        <v>7.3979759999433237E-7</v>
      </c>
      <c r="F87" s="1">
        <f>2*D81*F81+2*E81*G81</f>
        <v>0.50000234205754623</v>
      </c>
      <c r="G87" s="20" t="s">
        <v>727</v>
      </c>
      <c r="H87" s="1">
        <f>1-COS(K54)</f>
        <v>3.8053019082544548E-3</v>
      </c>
      <c r="I87" s="1"/>
      <c r="J87" s="1"/>
      <c r="K87" s="1"/>
      <c r="L87" s="1"/>
      <c r="M87" s="1"/>
      <c r="N87" s="1"/>
    </row>
    <row r="88" spans="1:14" hidden="1" x14ac:dyDescent="0.2">
      <c r="A88" s="1"/>
      <c r="B88" s="1" t="s">
        <v>794</v>
      </c>
      <c r="C88" s="1"/>
      <c r="D88" s="1">
        <f>2*D81*F81-2*E81*G81</f>
        <v>-0.49931716756952504</v>
      </c>
      <c r="E88" s="1">
        <f>2*D81*G81+2*E81*F81</f>
        <v>5.2334918964640001E-2</v>
      </c>
      <c r="F88" s="1">
        <f>-D81*D81-E81*E81+F81*F81+G81*G81</f>
        <v>0.86483775733385826</v>
      </c>
      <c r="G88" s="20" t="s">
        <v>728</v>
      </c>
      <c r="H88" s="1">
        <f>SIN(K54)</f>
        <v>8.7155742747658166E-2</v>
      </c>
      <c r="I88" s="1"/>
      <c r="J88" s="1"/>
      <c r="K88" s="1"/>
      <c r="L88" s="1"/>
      <c r="M88" s="1"/>
      <c r="N88" s="1"/>
    </row>
    <row r="89" spans="1:14" hidden="1" x14ac:dyDescent="0.2">
      <c r="A89" s="1"/>
      <c r="B89" s="1" t="s">
        <v>729</v>
      </c>
      <c r="C89" s="1"/>
      <c r="D89" s="1">
        <f>-G52*H87*D87+G52*H88*D88</f>
        <v>-23.406921806251457</v>
      </c>
      <c r="E89" s="1">
        <f>-G52*H87*E87+G52*H88*E88</f>
        <v>2.2806429594242408</v>
      </c>
      <c r="F89" s="1">
        <f>-G52*H87*F87+G52*H88*F88</f>
        <v>36.736458615144045</v>
      </c>
      <c r="G89" s="1"/>
      <c r="H89" s="1"/>
      <c r="I89" s="1"/>
      <c r="J89" s="1"/>
      <c r="K89" s="1"/>
      <c r="L89" s="1"/>
      <c r="M89" s="1"/>
      <c r="N89" s="1"/>
    </row>
    <row r="90" spans="1:14" hidden="1" x14ac:dyDescent="0.2">
      <c r="A90" s="1"/>
      <c r="B90" s="1" t="s">
        <v>732</v>
      </c>
      <c r="C90" s="1"/>
      <c r="D90" s="1">
        <f>D85-D89</f>
        <v>-359.4218089841886</v>
      </c>
      <c r="E90" s="1">
        <f>E85-E89</f>
        <v>-1.9692348558882404</v>
      </c>
      <c r="F90" s="1">
        <f>F85-F89</f>
        <v>-297.6573016110807</v>
      </c>
      <c r="G90" s="163" t="s">
        <v>459</v>
      </c>
      <c r="H90" s="37" t="str">
        <f>CONCATENATE(TEXT(D90,"0.000000")," ",TEXT(E90,"0.000000")," ",TEXT(F90,"0.000000"))</f>
        <v>-359.421809 -1.969235 -297.657302</v>
      </c>
      <c r="I90" s="1"/>
      <c r="J90" s="1"/>
      <c r="K90" s="1"/>
      <c r="L90" s="1"/>
      <c r="M90" s="1"/>
      <c r="N90" s="1"/>
    </row>
    <row r="91" spans="1:14" hidden="1" x14ac:dyDescent="0.2"/>
    <row r="92" spans="1:14" hidden="1" x14ac:dyDescent="0.2">
      <c r="A92" s="4" t="s">
        <v>1334</v>
      </c>
      <c r="B92" s="4"/>
      <c r="C92" s="4"/>
    </row>
    <row r="93" spans="1:14" hidden="1" x14ac:dyDescent="0.2">
      <c r="A93" s="1" t="s">
        <v>1340</v>
      </c>
      <c r="B93" s="1" t="s">
        <v>1335</v>
      </c>
      <c r="C93" s="1"/>
      <c r="D93" s="1">
        <f>-F60</f>
        <v>-2.4965000000000001E-2</v>
      </c>
      <c r="E93" s="1">
        <f>-G60</f>
        <v>-0.30060399999999998</v>
      </c>
      <c r="F93" s="1">
        <f>D60</f>
        <v>-7.8710800000000008E-3</v>
      </c>
      <c r="G93" s="1">
        <f>E60</f>
        <v>-0.95338999999999996</v>
      </c>
      <c r="H93" s="163" t="s">
        <v>459</v>
      </c>
      <c r="I93" s="37" t="str">
        <f>CONCATENATE(TEXT(D93,"0.000000")," ",TEXT(E93,"0.000000")," ",TEXT(F93,"0.000000")," ",TEXT(G93,"0.000000"))</f>
        <v>-0.024965 -0.300604 -0.007871 -0.953390</v>
      </c>
      <c r="J93" s="1"/>
      <c r="K93" s="1"/>
      <c r="L93" s="1"/>
      <c r="M93" s="20" t="s">
        <v>227</v>
      </c>
      <c r="N93" s="1">
        <f>D93*D93+E93*E93+F93*F93+G93*G93</f>
        <v>1.0000004620413663</v>
      </c>
    </row>
    <row r="94" spans="1:14" hidden="1" x14ac:dyDescent="0.2">
      <c r="A94" s="1"/>
      <c r="B94" s="1" t="s">
        <v>1328</v>
      </c>
      <c r="C94" s="1"/>
      <c r="D94" s="1">
        <f>D62</f>
        <v>0</v>
      </c>
      <c r="E94" s="1">
        <f>E62</f>
        <v>-4.3619387365336E-2</v>
      </c>
      <c r="F94" s="1">
        <f>F62</f>
        <v>0</v>
      </c>
      <c r="G94" s="1">
        <f>G62</f>
        <v>0.9990482215818578</v>
      </c>
      <c r="H94" s="1"/>
      <c r="I94" s="1"/>
      <c r="J94" s="1"/>
      <c r="K94" s="1"/>
      <c r="L94" s="1"/>
      <c r="M94" s="1"/>
      <c r="N94" s="1"/>
    </row>
    <row r="95" spans="1:14" hidden="1" x14ac:dyDescent="0.2">
      <c r="A95" s="1"/>
      <c r="B95" s="1" t="s">
        <v>1331</v>
      </c>
      <c r="C95" s="1"/>
      <c r="D95" s="1">
        <f>D94*G93-E94*F93+F94*E93+G94*D93</f>
        <v>-2.5284570539294629E-2</v>
      </c>
      <c r="E95" s="1">
        <f>D94*F93+E94*G93-F94*D93+G94*E93</f>
        <v>-0.25873160388015504</v>
      </c>
      <c r="F95" s="1">
        <f>-D94*E93+E94*D93+F94*G93+G94*F93</f>
        <v>-6.7746304703529174E-3</v>
      </c>
      <c r="G95" s="1">
        <f>-D94*D93-E94*E93-F94*F93+G94*G93</f>
        <v>-0.96559474629349684</v>
      </c>
      <c r="H95" s="1"/>
      <c r="I95" s="1"/>
      <c r="J95" s="1"/>
      <c r="K95" s="1"/>
      <c r="L95" s="1"/>
      <c r="M95" s="1"/>
      <c r="N95" s="1"/>
    </row>
    <row r="96" spans="1:14" hidden="1" x14ac:dyDescent="0.2">
      <c r="A96" s="1" t="s">
        <v>946</v>
      </c>
      <c r="B96" s="1" t="s">
        <v>725</v>
      </c>
      <c r="C96" s="1"/>
      <c r="D96" s="1">
        <f>-F95</f>
        <v>6.7746304703529174E-3</v>
      </c>
      <c r="E96" s="1">
        <f>-G95</f>
        <v>0.96559474629349684</v>
      </c>
      <c r="F96" s="1">
        <f>D95</f>
        <v>-2.5284570539294629E-2</v>
      </c>
      <c r="G96" s="1">
        <f>E95</f>
        <v>-0.25873160388015504</v>
      </c>
      <c r="H96" s="163" t="s">
        <v>459</v>
      </c>
      <c r="I96" s="37" t="str">
        <f>CONCATENATE(TEXT(D96,"0.000000")," ",TEXT(E96,"0.000000")," ",TEXT(F96,"0.000000")," ",TEXT(G96,"0.000000"))</f>
        <v>0.006775 0.965595 -0.025285 -0.258732</v>
      </c>
      <c r="J96" s="1"/>
      <c r="K96" s="1"/>
      <c r="L96" s="1"/>
      <c r="M96" s="20" t="s">
        <v>228</v>
      </c>
      <c r="N96" s="1">
        <f>D96*D96+E96*E96+F96*F96+G96*G96</f>
        <v>1.0000004620413663</v>
      </c>
    </row>
    <row r="97" spans="1:14" hidden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idden="1" x14ac:dyDescent="0.2">
      <c r="A98" s="1" t="s">
        <v>1340</v>
      </c>
      <c r="B98" s="1" t="s">
        <v>1336</v>
      </c>
      <c r="C98" s="1"/>
      <c r="D98" s="1">
        <f>D66</f>
        <v>-440.108</v>
      </c>
      <c r="E98" s="1">
        <f>E66</f>
        <v>5.5449000000000002</v>
      </c>
      <c r="F98" s="1">
        <f>F66</f>
        <v>-179.11799999999999</v>
      </c>
      <c r="G98" s="163" t="s">
        <v>459</v>
      </c>
      <c r="H98" s="37" t="str">
        <f>CONCATENATE(TEXT(D98,"0.000000")," ",TEXT(E98,"0.000000")," ",TEXT(F98,"0.000000"))</f>
        <v>-440.108000 5.544900 -179.118000</v>
      </c>
      <c r="I98" s="1"/>
      <c r="J98" s="1"/>
      <c r="K98" s="1"/>
      <c r="L98" s="1"/>
      <c r="M98" s="1"/>
      <c r="N98" s="1"/>
    </row>
    <row r="99" spans="1:14" hidden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idden="1" x14ac:dyDescent="0.2">
      <c r="A100" s="1" t="s">
        <v>946</v>
      </c>
      <c r="B100" s="1" t="s">
        <v>795</v>
      </c>
      <c r="C100" s="1"/>
      <c r="D100" s="1">
        <f>D96*D96-E96*E96-F96*F96+G96*G96</f>
        <v>-0.86602458511255176</v>
      </c>
      <c r="E100" s="1">
        <f>2*D96*E96-2*F96*G96</f>
        <v>-7.3979759999433237E-7</v>
      </c>
      <c r="F100" s="1">
        <f>2*D96*F96+2*E96*G96</f>
        <v>-0.50000234205754623</v>
      </c>
      <c r="G100" s="20" t="s">
        <v>727</v>
      </c>
      <c r="H100" s="1">
        <f>1-COS(K54)</f>
        <v>3.8053019082544548E-3</v>
      </c>
      <c r="I100" s="1"/>
      <c r="J100" s="1"/>
      <c r="K100" s="1"/>
      <c r="L100" s="1"/>
      <c r="M100" s="1"/>
      <c r="N100" s="1"/>
    </row>
    <row r="101" spans="1:14" hidden="1" x14ac:dyDescent="0.2">
      <c r="A101" s="1"/>
      <c r="B101" s="1" t="s">
        <v>794</v>
      </c>
      <c r="C101" s="1"/>
      <c r="D101" s="1">
        <f>2*D96*F96-2*E96*G96</f>
        <v>0.49931716756952504</v>
      </c>
      <c r="E101" s="1">
        <f>2*D96*G96+2*E96*F96</f>
        <v>-5.2334918964640001E-2</v>
      </c>
      <c r="F101" s="1">
        <f>-D96*D96-E96*E96+F96*F96+G96*G96</f>
        <v>-0.86483775733385826</v>
      </c>
      <c r="G101" s="20" t="s">
        <v>728</v>
      </c>
      <c r="H101" s="1">
        <f>SIN(K54)</f>
        <v>8.7155742747658166E-2</v>
      </c>
      <c r="I101" s="1"/>
      <c r="J101" s="1"/>
      <c r="K101" s="1"/>
      <c r="L101" s="1"/>
      <c r="M101" s="1"/>
      <c r="N101" s="1"/>
    </row>
    <row r="102" spans="1:14" hidden="1" x14ac:dyDescent="0.2">
      <c r="A102" s="1"/>
      <c r="B102" s="1" t="s">
        <v>729</v>
      </c>
      <c r="C102" s="1"/>
      <c r="D102" s="1">
        <f>-G52*H100*D100+G52*H101*D101</f>
        <v>23.406921806251457</v>
      </c>
      <c r="E102" s="1">
        <f>-G52*H100*E100+G52*H101*E101</f>
        <v>-2.2806429594242408</v>
      </c>
      <c r="F102" s="1">
        <f>-G52*H100*F100+G52*H101*F101</f>
        <v>-36.736458615144045</v>
      </c>
      <c r="G102" s="1"/>
      <c r="H102" s="1"/>
      <c r="I102" s="1"/>
      <c r="J102" s="1"/>
      <c r="K102" s="1"/>
      <c r="L102" s="1"/>
      <c r="M102" s="1"/>
      <c r="N102" s="1"/>
    </row>
    <row r="103" spans="1:14" hidden="1" x14ac:dyDescent="0.2">
      <c r="A103" s="1"/>
      <c r="B103" s="1" t="s">
        <v>732</v>
      </c>
      <c r="C103" s="1"/>
      <c r="D103" s="1">
        <f>D98-D102</f>
        <v>-463.51492180625144</v>
      </c>
      <c r="E103" s="1">
        <f>E98-E102</f>
        <v>7.8255429594242409</v>
      </c>
      <c r="F103" s="1">
        <f>F98-F102</f>
        <v>-142.38154138485595</v>
      </c>
      <c r="G103" s="163" t="s">
        <v>459</v>
      </c>
      <c r="H103" s="37" t="str">
        <f>CONCATENATE(TEXT(D103,"0.000000")," ",TEXT(E103,"0.000000")," ",TEXT(F103,"0.000000"))</f>
        <v>-463.514922 7.825543 -142.381541</v>
      </c>
      <c r="I103" s="1"/>
      <c r="J103" s="1"/>
      <c r="K103" s="1"/>
      <c r="L103" s="1"/>
      <c r="M103" s="1"/>
      <c r="N103" s="1"/>
    </row>
    <row r="104" spans="1:14" hidden="1" x14ac:dyDescent="0.2">
      <c r="A104" s="1"/>
      <c r="B104" s="1"/>
      <c r="C104" s="1"/>
      <c r="D104" s="1"/>
      <c r="E104" s="1"/>
      <c r="F104" s="1"/>
      <c r="G104" s="163"/>
      <c r="H104" s="163"/>
      <c r="I104" s="1"/>
      <c r="J104" s="1"/>
      <c r="K104" s="1"/>
      <c r="L104" s="1"/>
      <c r="M104" s="1"/>
      <c r="N104" s="1"/>
    </row>
    <row r="105" spans="1:14" hidden="1" x14ac:dyDescent="0.2">
      <c r="A105" s="4" t="s">
        <v>1349</v>
      </c>
      <c r="B105" s="4"/>
      <c r="C105" s="4"/>
      <c r="D105" s="1"/>
      <c r="E105" s="1"/>
      <c r="F105" s="1"/>
      <c r="G105" s="163"/>
      <c r="H105" s="163"/>
      <c r="I105" s="1"/>
      <c r="J105" s="1"/>
      <c r="K105" s="1"/>
      <c r="L105" s="1"/>
      <c r="M105" s="1"/>
      <c r="N105" s="1"/>
    </row>
    <row r="106" spans="1:14" hidden="1" x14ac:dyDescent="0.2">
      <c r="A106" s="1"/>
      <c r="B106" s="88" t="s">
        <v>26</v>
      </c>
      <c r="C106" s="1" t="s">
        <v>1343</v>
      </c>
      <c r="D106" s="41" t="str">
        <f>IF(AND(I26="L",OR(I46="L",I46="S")),H70,"")</f>
        <v/>
      </c>
      <c r="E106" s="1"/>
      <c r="F106" s="1"/>
      <c r="H106" s="88" t="s">
        <v>19</v>
      </c>
      <c r="I106" s="1" t="str">
        <f>IF(AND(I26="L",OR(I46="L",I46="S")),I61,"")</f>
        <v/>
      </c>
      <c r="J106" s="1"/>
      <c r="K106" s="1"/>
      <c r="L106" s="1"/>
      <c r="M106" s="1"/>
      <c r="N106" s="1"/>
    </row>
    <row r="107" spans="1:14" hidden="1" x14ac:dyDescent="0.2">
      <c r="A107" s="1"/>
      <c r="C107" s="1" t="s">
        <v>1344</v>
      </c>
      <c r="D107" s="1" t="str">
        <f>IF(AND(I26="L",I46="R"),H75,D106)</f>
        <v/>
      </c>
      <c r="E107" s="1"/>
      <c r="F107" s="1"/>
      <c r="G107" s="163"/>
      <c r="H107" s="163"/>
      <c r="I107" s="1" t="str">
        <f>IF(AND(I26="L",I46="R"),I64,I106)</f>
        <v/>
      </c>
      <c r="J107" s="1"/>
      <c r="K107" s="1"/>
      <c r="L107" s="1"/>
      <c r="M107" s="1"/>
      <c r="N107" s="1"/>
    </row>
    <row r="108" spans="1:14" hidden="1" x14ac:dyDescent="0.2">
      <c r="A108" s="1"/>
      <c r="C108" s="1" t="s">
        <v>1345</v>
      </c>
      <c r="D108" s="1" t="str">
        <f>IF(AND(I26="S",OR(I46="L",I46="S")),H85,D107)</f>
        <v/>
      </c>
      <c r="E108" s="1"/>
      <c r="F108" s="1"/>
      <c r="G108" s="163"/>
      <c r="H108" s="163"/>
      <c r="I108" s="1" t="str">
        <f>IF(AND(I26="S",OR(I46="L",I46="S")),I78,I107)</f>
        <v/>
      </c>
      <c r="J108" s="1"/>
      <c r="K108" s="1"/>
      <c r="L108" s="1"/>
      <c r="M108" s="1"/>
      <c r="N108" s="1"/>
    </row>
    <row r="109" spans="1:14" hidden="1" x14ac:dyDescent="0.2">
      <c r="A109" s="1"/>
      <c r="C109" s="1" t="s">
        <v>1346</v>
      </c>
      <c r="D109" s="1" t="str">
        <f>IF(AND(I26="S",I46="R"),H90,D108)</f>
        <v/>
      </c>
      <c r="E109" s="1"/>
      <c r="F109" s="1"/>
      <c r="G109" s="163"/>
      <c r="H109" s="163"/>
      <c r="I109" s="1" t="str">
        <f>IF(AND(I26="S",I46="R"),I81,I108)</f>
        <v/>
      </c>
      <c r="J109" s="1"/>
      <c r="K109" s="1"/>
      <c r="L109" s="1"/>
      <c r="M109" s="1"/>
      <c r="N109" s="1"/>
    </row>
    <row r="110" spans="1:14" hidden="1" x14ac:dyDescent="0.2">
      <c r="A110" s="1"/>
      <c r="C110" s="1" t="s">
        <v>1347</v>
      </c>
      <c r="D110" s="1" t="str">
        <f>IF(AND(I26="R",OR(I46="L",I46="S")),H98,D109)</f>
        <v/>
      </c>
      <c r="E110" s="1"/>
      <c r="F110" s="1"/>
      <c r="G110" s="163"/>
      <c r="H110" s="163"/>
      <c r="I110" s="1" t="str">
        <f>IF(AND(I26="R",OR(I46="L",I46="S")),I93,I109)</f>
        <v/>
      </c>
      <c r="J110" s="1"/>
      <c r="K110" s="1"/>
      <c r="L110" s="1"/>
      <c r="M110" s="1"/>
      <c r="N110" s="1"/>
    </row>
    <row r="111" spans="1:14" hidden="1" x14ac:dyDescent="0.2">
      <c r="A111" s="1"/>
      <c r="C111" s="1" t="s">
        <v>1348</v>
      </c>
      <c r="D111" s="1" t="str">
        <f>IF(AND(I26="R",I46="R"),H103,D110)</f>
        <v>-463.514922 7.825543 -142.381541</v>
      </c>
      <c r="E111" s="1"/>
      <c r="F111" s="1"/>
      <c r="G111" s="163"/>
      <c r="H111" s="163"/>
      <c r="I111" s="1" t="str">
        <f>IF(AND(I26="R",I46="R"),I96,I110)</f>
        <v>0.006775 0.965595 -0.025285 -0.258732</v>
      </c>
      <c r="J111" s="1"/>
      <c r="K111" s="1"/>
      <c r="L111" s="1"/>
      <c r="M111" s="1"/>
      <c r="N111" s="1"/>
    </row>
    <row r="112" spans="1:14" s="28" customFormat="1" ht="13.5" thickBot="1" x14ac:dyDescent="0.25">
      <c r="G112" s="30"/>
      <c r="H112" s="30"/>
      <c r="I112" s="165"/>
      <c r="J112" s="30"/>
      <c r="K112" s="30"/>
    </row>
    <row r="113" spans="1:3" s="100" customFormat="1" x14ac:dyDescent="0.2">
      <c r="A113" s="99" t="s">
        <v>13</v>
      </c>
    </row>
    <row r="115" spans="1:3" x14ac:dyDescent="0.2">
      <c r="A115" s="13" t="s">
        <v>1341</v>
      </c>
    </row>
    <row r="116" spans="1:3" x14ac:dyDescent="0.2">
      <c r="B116" t="s">
        <v>1342</v>
      </c>
    </row>
    <row r="118" spans="1:3" x14ac:dyDescent="0.2">
      <c r="B118" s="88" t="s">
        <v>26</v>
      </c>
      <c r="C118" s="74" t="str">
        <f>D111</f>
        <v>-463.514922 7.825543 -142.381541</v>
      </c>
    </row>
    <row r="119" spans="1:3" s="45" customFormat="1" x14ac:dyDescent="0.2">
      <c r="B119" s="164" t="s">
        <v>19</v>
      </c>
      <c r="C119" s="183" t="str">
        <f>I111</f>
        <v>0.006775 0.965595 -0.025285 -0.258732</v>
      </c>
    </row>
    <row r="120" spans="1:3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5"/>
  <sheetViews>
    <sheetView workbookViewId="0">
      <selection activeCell="A2" sqref="A2"/>
    </sheetView>
  </sheetViews>
  <sheetFormatPr defaultRowHeight="12.75" x14ac:dyDescent="0.2"/>
  <sheetData>
    <row r="1" spans="1:6" s="5" customFormat="1" x14ac:dyDescent="0.2">
      <c r="A1" s="14" t="s">
        <v>752</v>
      </c>
      <c r="B1" s="14"/>
      <c r="C1" s="14"/>
      <c r="D1" s="14"/>
      <c r="E1" s="14"/>
      <c r="F1" s="14"/>
    </row>
    <row r="3" spans="1:6" x14ac:dyDescent="0.2">
      <c r="A3" s="33" t="s">
        <v>187</v>
      </c>
    </row>
    <row r="4" spans="1:6" x14ac:dyDescent="0.2">
      <c r="B4" t="s">
        <v>188</v>
      </c>
    </row>
    <row r="5" spans="1:6" x14ac:dyDescent="0.2">
      <c r="B5" t="s">
        <v>189</v>
      </c>
    </row>
    <row r="6" spans="1:6" x14ac:dyDescent="0.2">
      <c r="B6" t="s">
        <v>190</v>
      </c>
    </row>
    <row r="7" spans="1:6" x14ac:dyDescent="0.2">
      <c r="B7" t="s">
        <v>191</v>
      </c>
    </row>
    <row r="8" spans="1:6" x14ac:dyDescent="0.2">
      <c r="B8" t="s">
        <v>195</v>
      </c>
    </row>
    <row r="9" spans="1:6" x14ac:dyDescent="0.2">
      <c r="B9" t="s">
        <v>196</v>
      </c>
    </row>
    <row r="11" spans="1:6" x14ac:dyDescent="0.2">
      <c r="A11" t="s">
        <v>540</v>
      </c>
      <c r="B11" t="s">
        <v>197</v>
      </c>
    </row>
    <row r="12" spans="1:6" x14ac:dyDescent="0.2">
      <c r="B12" t="s">
        <v>198</v>
      </c>
    </row>
    <row r="14" spans="1:6" x14ac:dyDescent="0.2">
      <c r="B14" t="s">
        <v>202</v>
      </c>
    </row>
    <row r="16" spans="1:6" x14ac:dyDescent="0.2">
      <c r="A16" t="s">
        <v>1356</v>
      </c>
    </row>
    <row r="17" spans="1:26" s="28" customFormat="1" ht="13.5" thickBot="1" x14ac:dyDescent="0.25"/>
    <row r="18" spans="1:26" s="27" customFormat="1" x14ac:dyDescent="0.2">
      <c r="A18" s="8" t="s">
        <v>544</v>
      </c>
      <c r="B18" s="8"/>
      <c r="C18" s="8"/>
      <c r="D18" s="8"/>
      <c r="E18" s="8"/>
      <c r="F18" s="8"/>
    </row>
    <row r="20" spans="1:26" x14ac:dyDescent="0.2">
      <c r="A20" s="82" t="s">
        <v>753</v>
      </c>
      <c r="B20" s="11"/>
      <c r="C20" s="11"/>
      <c r="D20" s="11"/>
      <c r="E20" s="11"/>
      <c r="F20" s="11"/>
    </row>
    <row r="21" spans="1:26" x14ac:dyDescent="0.2">
      <c r="O21" s="19" t="s">
        <v>937</v>
      </c>
      <c r="P21" s="19" t="s">
        <v>938</v>
      </c>
      <c r="Q21" s="19" t="s">
        <v>939</v>
      </c>
      <c r="R21" s="19" t="s">
        <v>940</v>
      </c>
      <c r="S21" s="1"/>
      <c r="T21" s="1"/>
      <c r="U21" s="1"/>
      <c r="V21" s="34"/>
      <c r="W21" s="1"/>
      <c r="X21" s="34"/>
      <c r="Y21" s="34"/>
      <c r="Z21" s="1"/>
    </row>
    <row r="22" spans="1:26" x14ac:dyDescent="0.2">
      <c r="B22" t="s">
        <v>204</v>
      </c>
      <c r="O22" s="19"/>
      <c r="P22" s="19"/>
      <c r="Q22" s="19"/>
      <c r="R22" s="19"/>
      <c r="S22" s="1"/>
      <c r="T22" s="1"/>
      <c r="U22" s="1"/>
      <c r="V22" s="34"/>
      <c r="W22" s="1"/>
      <c r="X22" s="34"/>
      <c r="Y22" s="34"/>
      <c r="Z22" s="1"/>
    </row>
    <row r="23" spans="1:26" x14ac:dyDescent="0.2">
      <c r="B23" t="s">
        <v>203</v>
      </c>
      <c r="O23" s="19"/>
      <c r="P23" s="19"/>
      <c r="Q23" s="19"/>
      <c r="R23" s="19"/>
      <c r="S23" s="1"/>
      <c r="T23" s="1"/>
      <c r="U23" s="1"/>
      <c r="V23" s="34"/>
      <c r="W23" s="1"/>
      <c r="X23" s="34"/>
      <c r="Y23" s="34"/>
      <c r="Z23" s="1"/>
    </row>
    <row r="24" spans="1:26" x14ac:dyDescent="0.2">
      <c r="O24" s="19"/>
      <c r="P24" s="19"/>
      <c r="Q24" s="19"/>
      <c r="R24" s="19"/>
      <c r="S24" s="1"/>
      <c r="T24" s="1"/>
      <c r="U24" s="1"/>
      <c r="V24" s="34"/>
      <c r="W24" s="1"/>
      <c r="X24" s="34"/>
      <c r="Y24" s="34"/>
      <c r="Z24" s="1"/>
    </row>
    <row r="25" spans="1:26" x14ac:dyDescent="0.2">
      <c r="B25" s="82" t="s">
        <v>342</v>
      </c>
      <c r="C25" s="11"/>
      <c r="D25" s="11"/>
      <c r="E25" s="11"/>
      <c r="F25" s="11"/>
      <c r="G25" s="11"/>
      <c r="H25" s="11"/>
      <c r="I25" s="67" t="s">
        <v>257</v>
      </c>
      <c r="N25" s="1" t="s">
        <v>936</v>
      </c>
      <c r="O25" s="19">
        <f>VALUE(MID(I25,1,O26-1))</f>
        <v>0</v>
      </c>
      <c r="P25" s="19">
        <f>VALUE(MID(I25,O26+1,P26-O26-1))</f>
        <v>0</v>
      </c>
      <c r="Q25" s="19">
        <f>VALUE(MID(I25,P26+1,Q26-P26-1))</f>
        <v>-0.5</v>
      </c>
      <c r="R25" s="19">
        <f>VALUE(MID(I25,Q26+1,R26-Q26))</f>
        <v>0.86602500000000004</v>
      </c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42"/>
      <c r="B26" t="s">
        <v>175</v>
      </c>
      <c r="I26" s="2"/>
      <c r="O26" s="1">
        <f>SEARCH(" ",I25,1)</f>
        <v>9</v>
      </c>
      <c r="P26" s="1">
        <f>SEARCH(" ",I25,O26+1)</f>
        <v>18</v>
      </c>
      <c r="Q26" s="1">
        <f>SEARCH(" ",I25,P26+1)</f>
        <v>28</v>
      </c>
      <c r="R26" s="1">
        <f>LEN(I25)</f>
        <v>36</v>
      </c>
      <c r="S26" s="19"/>
      <c r="T26" s="2"/>
      <c r="U26" s="2"/>
      <c r="V26" s="2"/>
      <c r="W26" s="2"/>
      <c r="X26" s="2"/>
      <c r="Y26" s="2"/>
      <c r="Z26" s="2"/>
    </row>
    <row r="28" spans="1:26" x14ac:dyDescent="0.2">
      <c r="G28" t="s">
        <v>698</v>
      </c>
    </row>
    <row r="29" spans="1:26" x14ac:dyDescent="0.2">
      <c r="B29" s="82" t="s">
        <v>702</v>
      </c>
      <c r="C29" s="11"/>
      <c r="D29" s="11"/>
      <c r="E29" s="11"/>
      <c r="F29" s="11"/>
      <c r="G29" s="11"/>
      <c r="H29" s="11"/>
      <c r="I29" s="67" t="s">
        <v>258</v>
      </c>
      <c r="L29" s="19">
        <f>VALUE(MID(I29,1,L30-1))</f>
        <v>-822.07</v>
      </c>
      <c r="M29" s="19">
        <f>VALUE(MID(I29,L30+1,M30-L30-1))</f>
        <v>121.2852</v>
      </c>
      <c r="N29" s="19">
        <f>VALUE(MID(I29,M30+1,N30-M30))</f>
        <v>-412.68200000000002</v>
      </c>
    </row>
    <row r="30" spans="1:26" x14ac:dyDescent="0.2">
      <c r="B30" t="s">
        <v>175</v>
      </c>
      <c r="I30" s="2"/>
      <c r="L30" s="1">
        <f>SEARCH(" ",I29,1)</f>
        <v>8</v>
      </c>
      <c r="M30" s="1">
        <f>SEARCH(" ",I29,L30+1)</f>
        <v>17</v>
      </c>
      <c r="N30" s="1">
        <f>LEN(I29)</f>
        <v>25</v>
      </c>
    </row>
    <row r="32" spans="1:26" x14ac:dyDescent="0.2">
      <c r="B32" s="82" t="s">
        <v>768</v>
      </c>
      <c r="C32" s="82"/>
      <c r="D32" s="82"/>
      <c r="E32" s="82"/>
      <c r="F32" s="82"/>
      <c r="G32" s="82"/>
      <c r="H32" s="82"/>
      <c r="I32" s="70" t="s">
        <v>754</v>
      </c>
      <c r="J32" s="129" t="str">
        <f>T(IF(I32="L","LEFT CURVE selected",IF(I32="R","RIGHT CURVE selected: GO STRAIGHT TO RESULTS","NO SELECTION MADE")))</f>
        <v>LEFT CURVE selected</v>
      </c>
    </row>
    <row r="33" spans="1:12" x14ac:dyDescent="0.2">
      <c r="J33" s="129"/>
    </row>
    <row r="34" spans="1:12" x14ac:dyDescent="0.2">
      <c r="B34" s="13" t="s">
        <v>970</v>
      </c>
      <c r="J34" s="129"/>
    </row>
    <row r="35" spans="1:12" x14ac:dyDescent="0.2">
      <c r="J35" s="129"/>
    </row>
    <row r="36" spans="1:12" x14ac:dyDescent="0.2">
      <c r="B36" s="13" t="s">
        <v>769</v>
      </c>
      <c r="J36" s="129"/>
    </row>
    <row r="37" spans="1:12" x14ac:dyDescent="0.2">
      <c r="J37" s="129"/>
    </row>
    <row r="38" spans="1:12" x14ac:dyDescent="0.2">
      <c r="B38" s="82" t="s">
        <v>761</v>
      </c>
      <c r="C38" s="82"/>
      <c r="D38" s="82"/>
      <c r="E38" s="82"/>
      <c r="F38" s="82"/>
      <c r="G38" s="82"/>
      <c r="H38" s="82"/>
      <c r="J38" s="129"/>
    </row>
    <row r="39" spans="1:12" x14ac:dyDescent="0.2">
      <c r="J39" s="129"/>
    </row>
    <row r="40" spans="1:12" x14ac:dyDescent="0.2">
      <c r="C40" s="82" t="s">
        <v>755</v>
      </c>
      <c r="D40" s="11"/>
      <c r="E40" s="11"/>
      <c r="F40" s="10"/>
      <c r="G40" s="70">
        <v>50</v>
      </c>
      <c r="H40" t="s">
        <v>756</v>
      </c>
      <c r="J40" s="129"/>
    </row>
    <row r="42" spans="1:12" x14ac:dyDescent="0.2">
      <c r="A42" s="13"/>
      <c r="B42" s="82" t="s">
        <v>760</v>
      </c>
      <c r="C42" s="82"/>
      <c r="D42" s="82"/>
      <c r="E42" s="82"/>
      <c r="F42" s="82"/>
      <c r="G42" s="82"/>
      <c r="H42" s="82"/>
      <c r="I42" s="82"/>
      <c r="J42" s="82"/>
      <c r="K42" s="82"/>
    </row>
    <row r="43" spans="1:12" x14ac:dyDescent="0.2">
      <c r="C43" t="s">
        <v>757</v>
      </c>
    </row>
    <row r="44" spans="1:12" x14ac:dyDescent="0.2">
      <c r="C44" t="s">
        <v>737</v>
      </c>
    </row>
    <row r="46" spans="1:12" x14ac:dyDescent="0.2">
      <c r="C46" s="82" t="s">
        <v>704</v>
      </c>
      <c r="D46" s="11"/>
      <c r="E46" s="11"/>
      <c r="F46" s="10"/>
      <c r="G46" s="70">
        <v>50</v>
      </c>
      <c r="H46" t="s">
        <v>1202</v>
      </c>
      <c r="I46" s="1"/>
      <c r="J46" s="19"/>
      <c r="K46" s="19"/>
      <c r="L46" s="19"/>
    </row>
    <row r="47" spans="1:12" x14ac:dyDescent="0.2">
      <c r="C47" s="47"/>
    </row>
    <row r="48" spans="1:12" x14ac:dyDescent="0.2">
      <c r="C48" s="87" t="s">
        <v>758</v>
      </c>
      <c r="D48" s="11"/>
      <c r="E48" s="11"/>
      <c r="F48" s="10"/>
      <c r="G48" s="70">
        <v>-1.57</v>
      </c>
      <c r="H48" t="s">
        <v>759</v>
      </c>
    </row>
    <row r="50" spans="1:12" x14ac:dyDescent="0.2">
      <c r="B50" s="82" t="s">
        <v>762</v>
      </c>
      <c r="C50" s="82"/>
      <c r="D50" s="82"/>
      <c r="E50" s="82"/>
      <c r="F50" s="82"/>
      <c r="G50" s="82"/>
      <c r="H50" s="82"/>
      <c r="J50" s="129"/>
    </row>
    <row r="51" spans="1:12" x14ac:dyDescent="0.2">
      <c r="J51" s="129"/>
    </row>
    <row r="52" spans="1:12" x14ac:dyDescent="0.2">
      <c r="C52" s="82" t="s">
        <v>763</v>
      </c>
      <c r="D52" s="11"/>
      <c r="E52" s="11"/>
      <c r="F52" s="10"/>
      <c r="G52" s="70">
        <v>20</v>
      </c>
      <c r="H52" t="s">
        <v>756</v>
      </c>
      <c r="J52" s="129"/>
    </row>
    <row r="54" spans="1:12" x14ac:dyDescent="0.2">
      <c r="A54" s="13"/>
      <c r="B54" s="82" t="s">
        <v>764</v>
      </c>
      <c r="C54" s="82"/>
      <c r="D54" s="82"/>
      <c r="E54" s="82"/>
      <c r="F54" s="82"/>
      <c r="G54" s="82"/>
      <c r="H54" s="82"/>
      <c r="I54" s="82"/>
      <c r="J54" s="82"/>
      <c r="K54" s="82"/>
    </row>
    <row r="55" spans="1:12" x14ac:dyDescent="0.2">
      <c r="C55" t="s">
        <v>757</v>
      </c>
    </row>
    <row r="56" spans="1:12" x14ac:dyDescent="0.2">
      <c r="C56" t="s">
        <v>737</v>
      </c>
    </row>
    <row r="58" spans="1:12" x14ac:dyDescent="0.2">
      <c r="C58" s="82" t="s">
        <v>711</v>
      </c>
      <c r="D58" s="11"/>
      <c r="E58" s="11"/>
      <c r="F58" s="10"/>
      <c r="G58" s="70">
        <v>0</v>
      </c>
      <c r="H58" t="s">
        <v>1202</v>
      </c>
      <c r="I58" s="1"/>
      <c r="J58" s="19"/>
      <c r="K58" s="19"/>
      <c r="L58" s="19"/>
    </row>
    <row r="59" spans="1:12" x14ac:dyDescent="0.2">
      <c r="C59" s="47"/>
    </row>
    <row r="60" spans="1:12" x14ac:dyDescent="0.2">
      <c r="C60" s="87" t="s">
        <v>765</v>
      </c>
      <c r="D60" s="11"/>
      <c r="E60" s="11"/>
      <c r="F60" s="10"/>
      <c r="G60" s="70">
        <v>0</v>
      </c>
      <c r="H60" t="s">
        <v>759</v>
      </c>
    </row>
    <row r="62" spans="1:12" x14ac:dyDescent="0.2">
      <c r="B62" s="82" t="s">
        <v>766</v>
      </c>
      <c r="C62" s="82"/>
      <c r="D62" s="82"/>
      <c r="E62" s="82"/>
      <c r="F62" s="82"/>
      <c r="G62" s="82"/>
      <c r="H62" s="82"/>
      <c r="J62" s="129"/>
    </row>
    <row r="63" spans="1:12" x14ac:dyDescent="0.2">
      <c r="J63" s="129"/>
    </row>
    <row r="64" spans="1:12" x14ac:dyDescent="0.2">
      <c r="C64" s="82" t="s">
        <v>767</v>
      </c>
      <c r="D64" s="11"/>
      <c r="E64" s="11"/>
      <c r="F64" s="10"/>
      <c r="G64" s="70">
        <v>0</v>
      </c>
      <c r="H64" t="s">
        <v>756</v>
      </c>
      <c r="J64" s="129"/>
    </row>
    <row r="65" spans="1:14" x14ac:dyDescent="0.2">
      <c r="I65" s="175"/>
    </row>
    <row r="66" spans="1:14" hidden="1" x14ac:dyDescent="0.2">
      <c r="A66" t="s">
        <v>770</v>
      </c>
    </row>
    <row r="67" spans="1:14" hidden="1" x14ac:dyDescent="0.2">
      <c r="B67" s="1" t="s">
        <v>790</v>
      </c>
      <c r="C67" s="1"/>
      <c r="D67" s="1">
        <v>0</v>
      </c>
      <c r="E67" s="1">
        <v>0</v>
      </c>
      <c r="F67" s="1">
        <v>0</v>
      </c>
    </row>
    <row r="68" spans="1:14" hidden="1" x14ac:dyDescent="0.2">
      <c r="B68" s="1" t="s">
        <v>717</v>
      </c>
      <c r="C68" s="1"/>
      <c r="D68" s="1">
        <v>0</v>
      </c>
      <c r="E68" s="1">
        <v>0</v>
      </c>
      <c r="F68" s="1">
        <v>1</v>
      </c>
    </row>
    <row r="69" spans="1:14" hidden="1" x14ac:dyDescent="0.2">
      <c r="B69" s="1" t="s">
        <v>771</v>
      </c>
      <c r="D69" s="1">
        <f>D67+G40*D68</f>
        <v>0</v>
      </c>
      <c r="E69" s="1">
        <f>E67+G40*E68</f>
        <v>0</v>
      </c>
      <c r="F69" s="1">
        <f>F67+G40*F68</f>
        <v>50</v>
      </c>
    </row>
    <row r="70" spans="1:14" hidden="1" x14ac:dyDescent="0.2">
      <c r="A70" t="s">
        <v>772</v>
      </c>
    </row>
    <row r="71" spans="1:14" hidden="1" x14ac:dyDescent="0.2">
      <c r="B71" s="1" t="s">
        <v>720</v>
      </c>
      <c r="C71" s="1"/>
      <c r="D71" s="1">
        <v>0</v>
      </c>
      <c r="E71" s="1">
        <f>J72</f>
        <v>0.70682518110536596</v>
      </c>
      <c r="F71" s="1">
        <v>0</v>
      </c>
      <c r="G71" s="1">
        <f>J71</f>
        <v>0.70738826916719977</v>
      </c>
      <c r="H71" s="1"/>
      <c r="I71" s="1" t="s">
        <v>721</v>
      </c>
      <c r="J71" s="1">
        <f>COS(G48/2)</f>
        <v>0.70738826916719977</v>
      </c>
      <c r="K71" s="1"/>
      <c r="L71" s="1"/>
      <c r="M71" s="1"/>
      <c r="N71" s="1"/>
    </row>
    <row r="72" spans="1:14" hidden="1" x14ac:dyDescent="0.2">
      <c r="B72" s="1" t="s">
        <v>791</v>
      </c>
      <c r="C72" s="1"/>
      <c r="D72" s="1">
        <v>0</v>
      </c>
      <c r="E72" s="1">
        <v>0</v>
      </c>
      <c r="F72" s="1">
        <v>0</v>
      </c>
      <c r="G72" s="1">
        <v>1</v>
      </c>
      <c r="H72" s="1"/>
      <c r="I72" s="1" t="s">
        <v>773</v>
      </c>
      <c r="J72" s="1">
        <f>-SIN(G48/2)</f>
        <v>0.70682518110536596</v>
      </c>
      <c r="K72" s="1"/>
      <c r="L72" s="1"/>
      <c r="M72" s="1"/>
      <c r="N72" s="1"/>
    </row>
    <row r="73" spans="1:14" hidden="1" x14ac:dyDescent="0.2">
      <c r="B73" s="1" t="s">
        <v>774</v>
      </c>
      <c r="C73" s="1"/>
      <c r="D73" s="1">
        <f>D71*G72-E71*F72+F71*E72+G71*D72</f>
        <v>0</v>
      </c>
      <c r="E73" s="1">
        <f>D71*F72+E71*G72-F71*D72+G71*E72</f>
        <v>0.70682518110536596</v>
      </c>
      <c r="F73" s="1">
        <f>-D71*E72+E71*D72+F71*G72+G71*F72</f>
        <v>0</v>
      </c>
      <c r="G73" s="1">
        <f>-D71*D72-E71*E72-F71*F72+G71*G72</f>
        <v>0.70738826916719977</v>
      </c>
      <c r="H73" s="163" t="s">
        <v>459</v>
      </c>
      <c r="I73" s="37" t="str">
        <f>CONCATENATE(TEXT(D73,"0.000000")," ",TEXT(E73,"0.000000")," ",TEXT(F73,"0.000000")," ",TEXT(G73,"0.000000"))</f>
        <v>0.000000 0.706825 0.000000 0.707388</v>
      </c>
      <c r="J73" s="1"/>
      <c r="K73" s="1"/>
      <c r="L73" s="1"/>
      <c r="M73" s="20" t="s">
        <v>227</v>
      </c>
      <c r="N73" s="1">
        <f>D73*D73+E73*E73+F73*F73+G73*G73</f>
        <v>1</v>
      </c>
    </row>
    <row r="74" spans="1:14" hidden="1" x14ac:dyDescent="0.2"/>
    <row r="75" spans="1:14" hidden="1" x14ac:dyDescent="0.2">
      <c r="B75" s="1" t="s">
        <v>716</v>
      </c>
      <c r="C75" s="1"/>
      <c r="D75" s="1">
        <v>1</v>
      </c>
      <c r="E75" s="1">
        <v>0</v>
      </c>
      <c r="F75" s="1">
        <v>0</v>
      </c>
      <c r="G75" s="20" t="s">
        <v>719</v>
      </c>
      <c r="H75" s="1">
        <f>1-COS(G48)</f>
        <v>0.99920367328926674</v>
      </c>
    </row>
    <row r="76" spans="1:14" hidden="1" x14ac:dyDescent="0.2">
      <c r="B76" s="1" t="s">
        <v>717</v>
      </c>
      <c r="C76" s="1"/>
      <c r="D76" s="1">
        <v>0</v>
      </c>
      <c r="E76" s="1">
        <v>0</v>
      </c>
      <c r="F76" s="1">
        <v>1</v>
      </c>
      <c r="G76" s="20" t="s">
        <v>775</v>
      </c>
      <c r="H76" s="1">
        <f>-SIN(G48)</f>
        <v>0.99999968293183461</v>
      </c>
    </row>
    <row r="77" spans="1:14" hidden="1" x14ac:dyDescent="0.2">
      <c r="B77" s="1" t="s">
        <v>776</v>
      </c>
      <c r="C77" s="1"/>
      <c r="D77" s="1">
        <f>-G46*H75*D75+G46*H76*D76</f>
        <v>-49.960183664463337</v>
      </c>
      <c r="E77" s="1">
        <f>-G46*H75*E75+G46*H76*E76</f>
        <v>0</v>
      </c>
      <c r="F77" s="1">
        <f>-G46*H75*F75+G46*H76*F76</f>
        <v>49.999984146591729</v>
      </c>
      <c r="G77" s="1"/>
      <c r="H77" s="1"/>
    </row>
    <row r="78" spans="1:14" hidden="1" x14ac:dyDescent="0.2">
      <c r="B78" s="1" t="s">
        <v>777</v>
      </c>
      <c r="C78" s="1"/>
      <c r="D78" s="1">
        <f>D69+D77</f>
        <v>-49.960183664463337</v>
      </c>
      <c r="E78" s="1">
        <f>E69+E77</f>
        <v>0</v>
      </c>
      <c r="F78" s="1">
        <f>F69+F77</f>
        <v>99.999984146591729</v>
      </c>
      <c r="G78" s="163" t="s">
        <v>459</v>
      </c>
      <c r="H78" s="37" t="str">
        <f>CONCATENATE(TEXT(D78,"0.000000")," ",TEXT(E78,"0.000000")," ",TEXT(F78,"0.000000"))</f>
        <v>-49.960184 0.000000 99.999984</v>
      </c>
    </row>
    <row r="79" spans="1:14" hidden="1" x14ac:dyDescent="0.2"/>
    <row r="80" spans="1:14" hidden="1" x14ac:dyDescent="0.2">
      <c r="A80" t="s">
        <v>778</v>
      </c>
    </row>
    <row r="81" spans="1:14" hidden="1" x14ac:dyDescent="0.2">
      <c r="B81" s="1" t="s">
        <v>794</v>
      </c>
      <c r="C81" s="1"/>
      <c r="D81" s="1">
        <f>2*D73*F73-2*E73*G73</f>
        <v>-0.99999968293183472</v>
      </c>
      <c r="E81" s="1">
        <f>2*D73*G73+2*E73*F73</f>
        <v>0</v>
      </c>
      <c r="F81" s="1">
        <f>-D73*D73-E73*E73+F73*F73+G73*G73</f>
        <v>7.963267107333194E-4</v>
      </c>
    </row>
    <row r="82" spans="1:14" hidden="1" x14ac:dyDescent="0.2">
      <c r="B82" s="1" t="s">
        <v>779</v>
      </c>
      <c r="D82" s="1">
        <f>D78+G52*D81</f>
        <v>-69.960177323100027</v>
      </c>
      <c r="E82" s="1">
        <f>E78+G52*E81</f>
        <v>0</v>
      </c>
      <c r="F82" s="1">
        <f>F78+G52*F81</f>
        <v>100.0159106808064</v>
      </c>
    </row>
    <row r="83" spans="1:14" hidden="1" x14ac:dyDescent="0.2"/>
    <row r="84" spans="1:14" hidden="1" x14ac:dyDescent="0.2">
      <c r="A84" t="s">
        <v>780</v>
      </c>
    </row>
    <row r="85" spans="1:14" hidden="1" x14ac:dyDescent="0.2">
      <c r="B85" s="1" t="s">
        <v>781</v>
      </c>
      <c r="C85" s="1"/>
      <c r="D85" s="1">
        <v>0</v>
      </c>
      <c r="E85" s="1">
        <f>J86</f>
        <v>0</v>
      </c>
      <c r="F85" s="1">
        <v>0</v>
      </c>
      <c r="G85" s="1">
        <f>J85</f>
        <v>1</v>
      </c>
      <c r="H85" s="1"/>
      <c r="I85" s="1" t="s">
        <v>724</v>
      </c>
      <c r="J85" s="1">
        <f>COS(G60/2)</f>
        <v>1</v>
      </c>
      <c r="K85" s="1"/>
      <c r="L85" s="1"/>
      <c r="M85" s="1"/>
      <c r="N85" s="1"/>
    </row>
    <row r="86" spans="1:14" hidden="1" x14ac:dyDescent="0.2">
      <c r="B86" s="1" t="s">
        <v>782</v>
      </c>
      <c r="C86" s="1"/>
      <c r="D86" s="1">
        <f>D73</f>
        <v>0</v>
      </c>
      <c r="E86" s="1">
        <f>E73</f>
        <v>0.70682518110536596</v>
      </c>
      <c r="F86" s="1">
        <f>F73</f>
        <v>0</v>
      </c>
      <c r="G86" s="1">
        <f>G73</f>
        <v>0.70738826916719977</v>
      </c>
      <c r="H86" s="1"/>
      <c r="I86" s="1" t="s">
        <v>733</v>
      </c>
      <c r="J86" s="1">
        <f>-SIN(G60/2)</f>
        <v>0</v>
      </c>
      <c r="K86" s="1"/>
      <c r="L86" s="1"/>
      <c r="M86" s="1"/>
      <c r="N86" s="1"/>
    </row>
    <row r="87" spans="1:14" hidden="1" x14ac:dyDescent="0.2">
      <c r="B87" s="1" t="s">
        <v>792</v>
      </c>
      <c r="C87" s="1"/>
      <c r="D87" s="1">
        <f>D85*G86-E85*F86+F85*E86+G85*D86</f>
        <v>0</v>
      </c>
      <c r="E87" s="1">
        <f>D85*F86+E85*G86-F85*D86+G85*E86</f>
        <v>0.70682518110536596</v>
      </c>
      <c r="F87" s="1">
        <f>-D85*E86+E85*D86+F85*G86+G85*F86</f>
        <v>0</v>
      </c>
      <c r="G87" s="1">
        <f>-D85*D86-E85*E86-F85*F86+G85*G86</f>
        <v>0.70738826916719977</v>
      </c>
      <c r="H87" s="163" t="s">
        <v>459</v>
      </c>
      <c r="I87" s="37" t="str">
        <f>CONCATENATE(TEXT(D87,"0.000000")," ",TEXT(E87,"0.000000")," ",TEXT(F87,"0.000000")," ",TEXT(G87,"0.000000"))</f>
        <v>0.000000 0.706825 0.000000 0.707388</v>
      </c>
      <c r="J87" s="1"/>
      <c r="K87" s="1"/>
      <c r="L87" s="1"/>
      <c r="M87" s="20" t="s">
        <v>227</v>
      </c>
      <c r="N87" s="1">
        <f>D87*D87+E87*E87+F87*F87+G87*G87</f>
        <v>1</v>
      </c>
    </row>
    <row r="88" spans="1:14" hidden="1" x14ac:dyDescent="0.2"/>
    <row r="89" spans="1:14" hidden="1" x14ac:dyDescent="0.2">
      <c r="B89" s="1" t="s">
        <v>795</v>
      </c>
      <c r="C89" s="1"/>
      <c r="D89" s="1">
        <f>D86*D86-E86*E86-F86*F86+G86*G86</f>
        <v>7.963267107333194E-4</v>
      </c>
      <c r="E89" s="1">
        <f>2*D86*E86-2*F86*G86</f>
        <v>0</v>
      </c>
      <c r="F89" s="1">
        <f>2*D86*F86+2*E86*G86</f>
        <v>0.99999968293183472</v>
      </c>
      <c r="G89" s="20" t="s">
        <v>727</v>
      </c>
      <c r="H89" s="1">
        <f>1-COS(G60)</f>
        <v>0</v>
      </c>
    </row>
    <row r="90" spans="1:14" hidden="1" x14ac:dyDescent="0.2">
      <c r="B90" s="1" t="s">
        <v>794</v>
      </c>
      <c r="C90" s="1"/>
      <c r="D90" s="1">
        <f>2*D86*F86-2*E86*G86</f>
        <v>-0.99999968293183472</v>
      </c>
      <c r="E90" s="1">
        <f>2*D86*G86+2*E86*F86</f>
        <v>0</v>
      </c>
      <c r="F90" s="1">
        <f>-D86*D86-E86*E86+F86*F86+G86*G86</f>
        <v>7.963267107333194E-4</v>
      </c>
      <c r="G90" s="20" t="s">
        <v>783</v>
      </c>
      <c r="H90" s="1">
        <f>-SIN(G60)</f>
        <v>0</v>
      </c>
    </row>
    <row r="91" spans="1:14" hidden="1" x14ac:dyDescent="0.2">
      <c r="B91" s="1" t="s">
        <v>784</v>
      </c>
      <c r="C91" s="1"/>
      <c r="D91" s="1">
        <f>-G58*H89*D89+G58*H90*D90</f>
        <v>0</v>
      </c>
      <c r="E91" s="1">
        <f>-G58*H89*E89+G58*H90*E90</f>
        <v>0</v>
      </c>
      <c r="F91" s="1">
        <f>-G58*H89*F89+G58*H90*F90</f>
        <v>0</v>
      </c>
      <c r="G91" s="1"/>
      <c r="H91" s="1"/>
    </row>
    <row r="92" spans="1:14" hidden="1" x14ac:dyDescent="0.2">
      <c r="B92" s="1" t="s">
        <v>785</v>
      </c>
      <c r="C92" s="1"/>
      <c r="D92" s="1">
        <f>D82+D91</f>
        <v>-69.960177323100027</v>
      </c>
      <c r="E92" s="1">
        <f>E82+E91</f>
        <v>0</v>
      </c>
      <c r="F92" s="1">
        <f>F82+F91</f>
        <v>100.0159106808064</v>
      </c>
      <c r="G92" s="163" t="s">
        <v>459</v>
      </c>
      <c r="H92" s="37" t="str">
        <f>CONCATENATE(TEXT(D92,"0.000000")," ",TEXT(E92,"0.000000")," ",TEXT(F92,"0.000000"))</f>
        <v>-69.960177 0.000000 100.015911</v>
      </c>
    </row>
    <row r="93" spans="1:14" hidden="1" x14ac:dyDescent="0.2"/>
    <row r="94" spans="1:14" hidden="1" x14ac:dyDescent="0.2">
      <c r="A94" t="s">
        <v>786</v>
      </c>
    </row>
    <row r="95" spans="1:14" hidden="1" x14ac:dyDescent="0.2">
      <c r="B95" s="1" t="s">
        <v>794</v>
      </c>
      <c r="C95" s="1"/>
      <c r="D95" s="1">
        <f>2*D87*F87-2*E87*G87</f>
        <v>-0.99999968293183472</v>
      </c>
      <c r="E95" s="1">
        <f>2*D87*G87+2*E87*F87</f>
        <v>0</v>
      </c>
      <c r="F95" s="1">
        <f>-D87*D87-E87*E87+F87*F87+G87*G87</f>
        <v>7.963267107333194E-4</v>
      </c>
    </row>
    <row r="96" spans="1:14" hidden="1" x14ac:dyDescent="0.2">
      <c r="B96" s="1" t="s">
        <v>793</v>
      </c>
      <c r="D96" s="1">
        <f>D92+G64*D95</f>
        <v>-69.960177323100027</v>
      </c>
      <c r="E96" s="1">
        <f>E92+G64*E95</f>
        <v>0</v>
      </c>
      <c r="F96" s="1">
        <f>F92+G64*F95</f>
        <v>100.0159106808064</v>
      </c>
      <c r="G96" s="163" t="s">
        <v>459</v>
      </c>
      <c r="H96" s="37" t="str">
        <f>CONCATENATE(TEXT(D96,"0.000000")," ",TEXT(E96,"0.000000")," ",TEXT(F96,"0.000000"))</f>
        <v>-69.960177 0.000000 100.015911</v>
      </c>
    </row>
    <row r="97" spans="1:14" hidden="1" x14ac:dyDescent="0.2">
      <c r="B97" s="1"/>
      <c r="D97" s="1"/>
      <c r="E97" s="1"/>
      <c r="F97" s="1"/>
      <c r="G97" s="163"/>
      <c r="H97" s="163"/>
    </row>
    <row r="98" spans="1:14" hidden="1" x14ac:dyDescent="0.2">
      <c r="A98" t="s">
        <v>787</v>
      </c>
      <c r="B98" s="1"/>
      <c r="D98" s="1"/>
      <c r="E98" s="1"/>
      <c r="F98" s="1"/>
      <c r="G98" s="163"/>
      <c r="H98" s="163"/>
    </row>
    <row r="99" spans="1:14" hidden="1" x14ac:dyDescent="0.2">
      <c r="B99" s="1" t="s">
        <v>788</v>
      </c>
      <c r="D99" s="1">
        <f>D87</f>
        <v>0</v>
      </c>
      <c r="E99" s="1">
        <f>E87</f>
        <v>0.70682518110536596</v>
      </c>
      <c r="F99" s="1">
        <f>F87</f>
        <v>0</v>
      </c>
      <c r="G99" s="1">
        <f>G87</f>
        <v>0.70738826916719977</v>
      </c>
      <c r="H99" s="163"/>
    </row>
    <row r="100" spans="1:14" hidden="1" x14ac:dyDescent="0.2">
      <c r="B100" s="1" t="s">
        <v>723</v>
      </c>
      <c r="D100" s="1">
        <f>O25</f>
        <v>0</v>
      </c>
      <c r="E100" s="1">
        <f>P25</f>
        <v>0</v>
      </c>
      <c r="F100" s="1">
        <f>Q25</f>
        <v>-0.5</v>
      </c>
      <c r="G100" s="1">
        <f>R25</f>
        <v>0.86602500000000004</v>
      </c>
      <c r="H100" s="163"/>
    </row>
    <row r="101" spans="1:14" hidden="1" x14ac:dyDescent="0.2">
      <c r="B101" s="1" t="s">
        <v>798</v>
      </c>
      <c r="D101" s="1">
        <f>D100*G99-E100*F99+F100*E99+G100*D99</f>
        <v>-0.35341259055268298</v>
      </c>
      <c r="E101" s="1">
        <f>D100*F99+E100*G99-F100*D99+G100*E99</f>
        <v>0.61212827746677456</v>
      </c>
      <c r="F101" s="1">
        <f>-D100*E99+E100*D99+F100*G99+G100*F99</f>
        <v>-0.35369413458359988</v>
      </c>
      <c r="G101" s="1">
        <f>-D100*D99-E100*E99-F100*F99+G100*G99</f>
        <v>0.61261592580552426</v>
      </c>
      <c r="H101" s="163" t="s">
        <v>459</v>
      </c>
      <c r="I101" s="37" t="str">
        <f>CONCATENATE(TEXT(D101,"0.000000")," ",TEXT(E101,"0.000000")," ",TEXT(F101,"0.000000")," ",TEXT(G101,"0.000000"))</f>
        <v>-0.353413 0.612128 -0.353694 0.612616</v>
      </c>
      <c r="J101" s="1"/>
      <c r="K101" s="1"/>
      <c r="L101" s="1"/>
      <c r="M101" s="20" t="s">
        <v>227</v>
      </c>
      <c r="N101" s="1">
        <f>D101*D101+E101*E101+F101*F101+G101*G101</f>
        <v>0.99999930062500009</v>
      </c>
    </row>
    <row r="102" spans="1:14" hidden="1" x14ac:dyDescent="0.2">
      <c r="B102" s="1"/>
      <c r="D102" s="1"/>
      <c r="E102" s="1"/>
      <c r="F102" s="1"/>
      <c r="G102" s="163"/>
      <c r="H102" s="163"/>
    </row>
    <row r="103" spans="1:14" hidden="1" x14ac:dyDescent="0.2">
      <c r="A103" t="s">
        <v>789</v>
      </c>
      <c r="B103" s="1"/>
      <c r="D103" s="1"/>
      <c r="E103" s="1"/>
      <c r="F103" s="1"/>
      <c r="G103" s="163"/>
      <c r="H103" s="163"/>
    </row>
    <row r="104" spans="1:14" hidden="1" x14ac:dyDescent="0.2">
      <c r="B104" s="1" t="s">
        <v>795</v>
      </c>
      <c r="C104" s="1"/>
      <c r="D104" s="1">
        <f>O25*O25-P25*P25-Q25*Q25+R25*R25</f>
        <v>0.49999930062500009</v>
      </c>
      <c r="E104" s="1">
        <f>2*O25*P25-2*Q25*R25</f>
        <v>0.86602500000000004</v>
      </c>
      <c r="F104" s="1">
        <f>2*O25*Q25+2*P25*R25</f>
        <v>0</v>
      </c>
      <c r="G104" s="163"/>
      <c r="H104" s="163"/>
    </row>
    <row r="105" spans="1:14" hidden="1" x14ac:dyDescent="0.2">
      <c r="B105" s="1" t="s">
        <v>794</v>
      </c>
      <c r="C105" s="1"/>
      <c r="D105" s="1">
        <f>2*O25*Q25-2*P25*R25</f>
        <v>0</v>
      </c>
      <c r="E105" s="1">
        <f>2*O25*R25+2*P25*Q25</f>
        <v>0</v>
      </c>
      <c r="F105" s="1">
        <f>-O25*O25-P25*P25+Q25*Q25+R25*R25</f>
        <v>0.99999930062500009</v>
      </c>
      <c r="G105" s="163"/>
      <c r="H105" s="163"/>
    </row>
    <row r="106" spans="1:14" hidden="1" x14ac:dyDescent="0.2">
      <c r="B106" s="1" t="s">
        <v>796</v>
      </c>
      <c r="C106" s="1"/>
      <c r="D106" s="1">
        <f>D96*D104+F96*D105</f>
        <v>-34.980039733151003</v>
      </c>
      <c r="E106" s="1">
        <f>D96*E104+F96*E105</f>
        <v>-60.587262566237705</v>
      </c>
      <c r="F106" s="1">
        <f>D96*F104+F96*F105</f>
        <v>100.01584073217887</v>
      </c>
      <c r="G106" s="163"/>
      <c r="H106" s="163"/>
    </row>
    <row r="107" spans="1:14" hidden="1" x14ac:dyDescent="0.2">
      <c r="B107" s="1" t="s">
        <v>797</v>
      </c>
      <c r="C107" s="1"/>
      <c r="D107" s="1">
        <f>L29+D106</f>
        <v>-857.05003973315104</v>
      </c>
      <c r="E107" s="1">
        <f>M29+E106</f>
        <v>60.697937433762299</v>
      </c>
      <c r="F107" s="1">
        <f>N29+F106</f>
        <v>-312.66615926782117</v>
      </c>
      <c r="G107" s="163" t="s">
        <v>459</v>
      </c>
      <c r="H107" s="37" t="str">
        <f>CONCATENATE(TEXT(D107,"0.000000")," ",TEXT(E107,"0.000000")," ",TEXT(F107,"0.000000"))</f>
        <v>-857.050040 60.697937 -312.666159</v>
      </c>
    </row>
    <row r="108" spans="1:14" hidden="1" x14ac:dyDescent="0.2">
      <c r="B108" s="1"/>
      <c r="C108" s="1"/>
      <c r="D108" s="1"/>
      <c r="E108" s="1"/>
      <c r="F108" s="1"/>
      <c r="G108" s="163"/>
      <c r="H108" s="163"/>
    </row>
    <row r="109" spans="1:14" hidden="1" x14ac:dyDescent="0.2">
      <c r="B109" s="1" t="s">
        <v>194</v>
      </c>
      <c r="C109" s="1"/>
      <c r="D109" s="1">
        <f>-Q25</f>
        <v>0.5</v>
      </c>
      <c r="E109" s="1">
        <f>-R25</f>
        <v>-0.86602500000000004</v>
      </c>
      <c r="F109" s="1">
        <f>O25</f>
        <v>0</v>
      </c>
      <c r="G109" s="163">
        <f>P25</f>
        <v>0</v>
      </c>
      <c r="H109" s="163" t="s">
        <v>459</v>
      </c>
      <c r="I109" s="37" t="str">
        <f>CONCATENATE(TEXT(D109,"0.000000")," ",TEXT(E109,"0.000000")," ",TEXT(F109,"0.000000")," ",TEXT(G109,"0.000000"))</f>
        <v>0.500000 -0.866025 0.000000 0.000000</v>
      </c>
      <c r="J109" s="1"/>
      <c r="K109" s="1"/>
      <c r="L109" s="1"/>
      <c r="M109" s="20" t="s">
        <v>227</v>
      </c>
      <c r="N109" s="1">
        <f>D109*D109+E109*E109+F109*F109+G109*G109</f>
        <v>0.99999930062500009</v>
      </c>
    </row>
    <row r="110" spans="1:14" s="28" customFormat="1" ht="13.5" thickBot="1" x14ac:dyDescent="0.25">
      <c r="G110" s="30"/>
      <c r="H110" s="30"/>
      <c r="I110" s="165"/>
      <c r="J110" s="30"/>
      <c r="K110" s="30"/>
    </row>
    <row r="111" spans="1:14" s="100" customFormat="1" x14ac:dyDescent="0.2">
      <c r="A111" s="99" t="s">
        <v>13</v>
      </c>
    </row>
    <row r="113" spans="1:12" x14ac:dyDescent="0.2">
      <c r="A113" s="13" t="s">
        <v>1341</v>
      </c>
    </row>
    <row r="114" spans="1:12" x14ac:dyDescent="0.2">
      <c r="B114" t="s">
        <v>1342</v>
      </c>
    </row>
    <row r="116" spans="1:12" x14ac:dyDescent="0.2">
      <c r="B116" s="56" t="str">
        <f>T(IF(I32="R","RIGHT CURVE SELECTED:  SEE RIGHT COLUMN &gt;&gt;&gt;&gt;&gt;&gt;&gt;","LEFT CURVE SELECTED:  SEE LEFT COLUMN"))</f>
        <v>LEFT CURVE SELECTED:  SEE LEFT COLUMN</v>
      </c>
      <c r="H116" s="13" t="s">
        <v>971</v>
      </c>
    </row>
    <row r="118" spans="1:12" x14ac:dyDescent="0.2">
      <c r="B118" s="168" t="s">
        <v>192</v>
      </c>
      <c r="C118" s="168"/>
      <c r="D118" s="168"/>
      <c r="E118" s="168"/>
      <c r="F118" s="168"/>
      <c r="G118" s="166"/>
      <c r="H118" s="22" t="s">
        <v>193</v>
      </c>
      <c r="I118" s="22"/>
      <c r="J118" s="22"/>
      <c r="K118" s="22"/>
      <c r="L118" s="22"/>
    </row>
    <row r="119" spans="1:12" x14ac:dyDescent="0.2">
      <c r="B119" s="171" t="s">
        <v>26</v>
      </c>
      <c r="C119" s="74" t="str">
        <f>H107</f>
        <v>-857.050040 60.697937 -312.666159</v>
      </c>
      <c r="D119" s="173"/>
      <c r="E119" s="173"/>
      <c r="F119" s="173"/>
      <c r="H119" s="174" t="s">
        <v>26</v>
      </c>
      <c r="I119" s="74" t="str">
        <f>I29</f>
        <v>-822.07 121.2852 -412.682</v>
      </c>
      <c r="J119" s="59"/>
      <c r="K119" s="59"/>
      <c r="L119" s="59"/>
    </row>
    <row r="120" spans="1:12" s="45" customFormat="1" x14ac:dyDescent="0.2">
      <c r="B120" s="172" t="s">
        <v>19</v>
      </c>
      <c r="C120" s="183" t="str">
        <f>I101</f>
        <v>-0.353413 0.612128 -0.353694 0.612616</v>
      </c>
      <c r="D120" s="154"/>
      <c r="E120" s="154"/>
      <c r="F120" s="154"/>
      <c r="H120" s="114" t="s">
        <v>19</v>
      </c>
      <c r="I120" s="74" t="str">
        <f>I109</f>
        <v>0.500000 -0.866025 0.000000 0.000000</v>
      </c>
      <c r="J120" s="61"/>
      <c r="K120" s="61"/>
      <c r="L120" s="61"/>
    </row>
    <row r="121" spans="1:12" s="45" customFormat="1" x14ac:dyDescent="0.2"/>
    <row r="122" spans="1:12" s="45" customFormat="1" x14ac:dyDescent="0.2">
      <c r="B122" s="45" t="s">
        <v>200</v>
      </c>
    </row>
    <row r="123" spans="1:12" s="45" customFormat="1" x14ac:dyDescent="0.2">
      <c r="B123" s="45" t="s">
        <v>199</v>
      </c>
    </row>
    <row r="124" spans="1:12" s="45" customFormat="1" x14ac:dyDescent="0.2">
      <c r="B124" s="66" t="s">
        <v>201</v>
      </c>
    </row>
    <row r="125" spans="1:12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workbookViewId="0">
      <selection activeCell="A2" sqref="A2"/>
    </sheetView>
  </sheetViews>
  <sheetFormatPr defaultRowHeight="12.75" x14ac:dyDescent="0.2"/>
  <cols>
    <col min="5" max="5" width="12.42578125" bestFit="1" customWidth="1"/>
    <col min="13" max="18" width="0" hidden="1" customWidth="1"/>
  </cols>
  <sheetData>
    <row r="1" spans="1:6" s="5" customFormat="1" x14ac:dyDescent="0.2">
      <c r="A1" s="14" t="s">
        <v>1070</v>
      </c>
      <c r="B1" s="14"/>
      <c r="C1" s="14"/>
      <c r="D1" s="14"/>
      <c r="E1" s="14"/>
      <c r="F1" s="14"/>
    </row>
    <row r="3" spans="1:6" x14ac:dyDescent="0.2">
      <c r="A3" s="33" t="s">
        <v>1071</v>
      </c>
    </row>
    <row r="4" spans="1:6" x14ac:dyDescent="0.2">
      <c r="B4" t="s">
        <v>1072</v>
      </c>
    </row>
    <row r="5" spans="1:6" x14ac:dyDescent="0.2">
      <c r="B5" t="s">
        <v>690</v>
      </c>
    </row>
    <row r="6" spans="1:6" x14ac:dyDescent="0.2">
      <c r="B6" t="s">
        <v>0</v>
      </c>
    </row>
    <row r="7" spans="1:6" x14ac:dyDescent="0.2">
      <c r="B7" s="33" t="s">
        <v>1</v>
      </c>
    </row>
    <row r="8" spans="1:6" x14ac:dyDescent="0.2">
      <c r="B8" t="s">
        <v>2</v>
      </c>
    </row>
    <row r="9" spans="1:6" x14ac:dyDescent="0.2">
      <c r="B9" t="s">
        <v>8</v>
      </c>
    </row>
    <row r="10" spans="1:6" x14ac:dyDescent="0.2">
      <c r="B10" t="s">
        <v>9</v>
      </c>
    </row>
    <row r="11" spans="1:6" x14ac:dyDescent="0.2">
      <c r="B11" s="33" t="s">
        <v>6</v>
      </c>
    </row>
    <row r="12" spans="1:6" x14ac:dyDescent="0.2">
      <c r="B12" t="s">
        <v>7</v>
      </c>
    </row>
    <row r="13" spans="1:6" x14ac:dyDescent="0.2">
      <c r="B13" t="s">
        <v>4</v>
      </c>
    </row>
    <row r="14" spans="1:6" x14ac:dyDescent="0.2">
      <c r="B14" t="s">
        <v>5</v>
      </c>
    </row>
    <row r="16" spans="1:6" x14ac:dyDescent="0.2">
      <c r="A16" s="41" t="s">
        <v>10</v>
      </c>
    </row>
    <row r="18" spans="1:26" x14ac:dyDescent="0.2">
      <c r="A18" t="s">
        <v>3</v>
      </c>
    </row>
    <row r="19" spans="1:26" s="28" customFormat="1" ht="13.5" thickBot="1" x14ac:dyDescent="0.25"/>
    <row r="20" spans="1:26" s="27" customFormat="1" x14ac:dyDescent="0.2">
      <c r="A20" s="8" t="s">
        <v>544</v>
      </c>
      <c r="B20" s="8"/>
      <c r="C20" s="8"/>
      <c r="D20" s="8"/>
      <c r="E20" s="8"/>
      <c r="F20" s="8"/>
    </row>
    <row r="22" spans="1:26" x14ac:dyDescent="0.2">
      <c r="A22" s="82" t="s">
        <v>680</v>
      </c>
      <c r="B22" s="11"/>
      <c r="C22" s="11"/>
      <c r="D22" s="11"/>
    </row>
    <row r="24" spans="1:26" x14ac:dyDescent="0.2">
      <c r="A24" t="s">
        <v>681</v>
      </c>
    </row>
    <row r="25" spans="1:26" x14ac:dyDescent="0.2">
      <c r="O25" s="19" t="s">
        <v>937</v>
      </c>
      <c r="P25" s="19" t="s">
        <v>938</v>
      </c>
      <c r="Q25" s="19" t="s">
        <v>939</v>
      </c>
      <c r="R25" s="19" t="s">
        <v>940</v>
      </c>
      <c r="S25" s="1"/>
      <c r="T25" s="1"/>
      <c r="U25" s="1"/>
      <c r="V25" s="34"/>
      <c r="W25" s="1"/>
      <c r="X25" s="34"/>
      <c r="Y25" s="34"/>
      <c r="Z25" s="1"/>
    </row>
    <row r="26" spans="1:26" x14ac:dyDescent="0.2">
      <c r="B26" s="82" t="s">
        <v>342</v>
      </c>
      <c r="C26" s="11"/>
      <c r="D26" s="11"/>
      <c r="E26" s="11"/>
      <c r="F26" s="11"/>
      <c r="G26" s="11"/>
      <c r="H26" s="11"/>
      <c r="I26" s="67" t="s">
        <v>1160</v>
      </c>
      <c r="N26" s="1" t="s">
        <v>936</v>
      </c>
      <c r="O26" s="19">
        <f>VALUE(MID(I26,1,O27-1))</f>
        <v>0.16773099999999999</v>
      </c>
      <c r="P26" s="19">
        <f>VALUE(MID(I26,O27+1,P27-O27-1))</f>
        <v>4.4942999999999997E-2</v>
      </c>
      <c r="Q26" s="19">
        <f>VALUE(MID(I26,P27+1,Q27-P27-1))</f>
        <v>0.25488699999999997</v>
      </c>
      <c r="R26" s="19">
        <f>VALUE(MID(I26,Q27+1,R27-Q27))</f>
        <v>0.95125099999999996</v>
      </c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42"/>
      <c r="B27" t="s">
        <v>175</v>
      </c>
      <c r="I27" s="2"/>
      <c r="O27" s="1">
        <f>SEARCH(" ",I26,1)</f>
        <v>9</v>
      </c>
      <c r="P27" s="1">
        <f>SEARCH(" ",I26,O27+1)</f>
        <v>18</v>
      </c>
      <c r="Q27" s="1">
        <f>SEARCH(" ",I26,P27+1)</f>
        <v>27</v>
      </c>
      <c r="R27" s="1">
        <f>LEN(I26)</f>
        <v>35</v>
      </c>
      <c r="S27" s="19"/>
      <c r="T27" s="2"/>
      <c r="U27" s="2"/>
      <c r="V27" s="2"/>
      <c r="W27" s="2"/>
      <c r="X27" s="2"/>
      <c r="Y27" s="2"/>
      <c r="Z27" s="2"/>
    </row>
    <row r="29" spans="1:26" x14ac:dyDescent="0.2">
      <c r="A29" s="82" t="s">
        <v>682</v>
      </c>
      <c r="B29" s="11"/>
      <c r="C29" s="11"/>
      <c r="D29" s="86"/>
      <c r="E29" s="86"/>
      <c r="F29" s="86"/>
      <c r="G29" s="86"/>
      <c r="H29" s="19"/>
      <c r="I29" s="19"/>
      <c r="J29" s="19"/>
      <c r="K29" s="19"/>
      <c r="L29" s="77"/>
      <c r="M29" s="19"/>
      <c r="N29" s="19"/>
      <c r="S29" s="77"/>
    </row>
    <row r="30" spans="1:26" x14ac:dyDescent="0.2">
      <c r="B30" s="1"/>
      <c r="C30" s="1"/>
      <c r="D30" s="19"/>
      <c r="E30" s="1"/>
      <c r="F30" s="1"/>
      <c r="G30" s="1"/>
      <c r="H30" s="19"/>
      <c r="I30" s="19"/>
      <c r="J30" s="19"/>
      <c r="K30" s="19"/>
      <c r="L30" s="19"/>
      <c r="M30" s="19"/>
      <c r="N30" s="19"/>
    </row>
    <row r="31" spans="1:26" x14ac:dyDescent="0.2">
      <c r="A31" t="s">
        <v>62</v>
      </c>
      <c r="B31" s="1"/>
      <c r="C31" s="1"/>
      <c r="D31" s="19"/>
      <c r="E31" s="1"/>
      <c r="F31" s="1"/>
      <c r="G31" s="1"/>
      <c r="H31" s="19"/>
      <c r="I31" s="19"/>
      <c r="J31" s="19"/>
      <c r="K31" s="19"/>
      <c r="L31" s="19"/>
      <c r="M31" s="19"/>
      <c r="N31" s="19"/>
    </row>
    <row r="32" spans="1:26" x14ac:dyDescent="0.2">
      <c r="B32" s="41" t="s">
        <v>60</v>
      </c>
      <c r="C32" s="1"/>
      <c r="D32" s="19"/>
      <c r="E32" s="1"/>
      <c r="F32" s="1"/>
      <c r="G32" s="1"/>
      <c r="H32" s="19"/>
      <c r="I32" s="19"/>
      <c r="J32" s="19"/>
      <c r="K32" s="19"/>
      <c r="L32" s="19"/>
      <c r="M32" s="19"/>
      <c r="N32" s="19"/>
    </row>
    <row r="33" spans="1:14" x14ac:dyDescent="0.2">
      <c r="B33" s="13" t="s">
        <v>85</v>
      </c>
      <c r="C33" s="1"/>
      <c r="D33" s="19"/>
      <c r="E33" s="1"/>
      <c r="F33" s="1"/>
      <c r="G33" s="1"/>
      <c r="H33" s="19"/>
      <c r="I33" s="19"/>
      <c r="J33" s="19"/>
      <c r="K33" s="19"/>
      <c r="L33" s="19"/>
      <c r="M33" s="19"/>
      <c r="N33" s="19"/>
    </row>
    <row r="34" spans="1:14" x14ac:dyDescent="0.2">
      <c r="B34" s="13"/>
      <c r="C34" s="1"/>
      <c r="D34" s="19"/>
      <c r="E34" s="1"/>
      <c r="F34" s="1"/>
      <c r="G34" s="1"/>
      <c r="H34" s="19"/>
      <c r="I34" s="19"/>
      <c r="J34" s="19"/>
      <c r="K34" s="19"/>
      <c r="L34" s="19"/>
      <c r="M34" s="19"/>
      <c r="N34" s="19"/>
    </row>
    <row r="35" spans="1:14" x14ac:dyDescent="0.2">
      <c r="A35" t="s">
        <v>1185</v>
      </c>
      <c r="B35" s="41"/>
      <c r="C35" s="1"/>
      <c r="D35" s="19"/>
      <c r="E35" s="1"/>
      <c r="F35" s="1"/>
      <c r="G35" s="1"/>
      <c r="H35" s="19"/>
      <c r="I35" s="19"/>
      <c r="J35" s="19"/>
      <c r="K35" s="19"/>
      <c r="L35" s="19"/>
      <c r="M35" s="19"/>
      <c r="N35" s="19"/>
    </row>
    <row r="36" spans="1:14" x14ac:dyDescent="0.2">
      <c r="B36" s="41" t="s">
        <v>1187</v>
      </c>
      <c r="C36" s="1"/>
      <c r="D36" s="19"/>
      <c r="E36" s="1"/>
      <c r="F36" s="1"/>
      <c r="G36" s="1"/>
      <c r="H36" s="19"/>
      <c r="I36" s="19"/>
      <c r="J36" s="19"/>
      <c r="K36" s="19"/>
      <c r="L36" s="19"/>
      <c r="M36" s="19"/>
      <c r="N36" s="19"/>
    </row>
    <row r="37" spans="1:14" x14ac:dyDescent="0.2">
      <c r="B37" s="82" t="s">
        <v>78</v>
      </c>
      <c r="C37" s="11"/>
      <c r="D37" s="11"/>
      <c r="E37" s="11"/>
      <c r="F37" s="11"/>
      <c r="G37" s="11"/>
      <c r="H37" s="11"/>
      <c r="I37" s="11"/>
      <c r="J37" s="19"/>
      <c r="K37" s="19"/>
      <c r="L37" s="19"/>
      <c r="M37" s="19"/>
      <c r="N37" s="19"/>
    </row>
    <row r="39" spans="1:14" x14ac:dyDescent="0.2">
      <c r="B39" s="102" t="s">
        <v>69</v>
      </c>
      <c r="C39" s="101"/>
      <c r="D39" s="106"/>
      <c r="E39" s="141">
        <v>10</v>
      </c>
      <c r="F39" s="102" t="s">
        <v>1076</v>
      </c>
      <c r="G39" s="103" t="s">
        <v>71</v>
      </c>
      <c r="H39" s="104"/>
      <c r="I39" s="105"/>
      <c r="J39" s="142">
        <f>ABS(E39)/180*PI()</f>
        <v>0.17453292519943295</v>
      </c>
      <c r="K39" s="103" t="s">
        <v>61</v>
      </c>
      <c r="L39" s="19"/>
      <c r="M39" s="19"/>
      <c r="N39" s="19"/>
    </row>
    <row r="40" spans="1:14" x14ac:dyDescent="0.2">
      <c r="B40" s="13" t="s">
        <v>1186</v>
      </c>
    </row>
    <row r="41" spans="1:14" x14ac:dyDescent="0.2">
      <c r="B41" s="102" t="s">
        <v>70</v>
      </c>
      <c r="C41" s="101"/>
      <c r="D41" s="106"/>
      <c r="E41" s="141">
        <v>0.2</v>
      </c>
      <c r="F41" s="102" t="s">
        <v>61</v>
      </c>
      <c r="G41" s="103" t="s">
        <v>72</v>
      </c>
      <c r="H41" s="104"/>
      <c r="I41" s="105"/>
      <c r="J41" s="142">
        <f>ABS(E41)*180/PI()</f>
        <v>11.459155902616464</v>
      </c>
      <c r="K41" s="105" t="s">
        <v>1076</v>
      </c>
      <c r="L41" s="19"/>
      <c r="M41" s="19"/>
      <c r="N41" s="19"/>
    </row>
    <row r="42" spans="1:14" x14ac:dyDescent="0.2">
      <c r="B42" s="40" t="s">
        <v>460</v>
      </c>
      <c r="C42" s="1"/>
      <c r="D42" s="19"/>
      <c r="E42" s="1"/>
      <c r="F42" s="1"/>
      <c r="G42" s="1"/>
      <c r="H42" s="19"/>
      <c r="I42" s="19"/>
      <c r="J42" s="19"/>
      <c r="K42" s="19"/>
      <c r="L42" s="19"/>
      <c r="M42" s="19"/>
      <c r="N42" s="19"/>
    </row>
    <row r="43" spans="1:14" x14ac:dyDescent="0.2">
      <c r="C43" s="1"/>
      <c r="D43" s="19"/>
      <c r="E43" s="1"/>
      <c r="F43" s="1"/>
      <c r="G43" s="1"/>
      <c r="H43" s="19"/>
      <c r="I43" s="19"/>
      <c r="J43" s="19"/>
      <c r="K43" s="19"/>
      <c r="L43" s="19"/>
      <c r="M43" s="19"/>
      <c r="N43" s="19"/>
    </row>
    <row r="44" spans="1:14" x14ac:dyDescent="0.2">
      <c r="A44" t="s">
        <v>87</v>
      </c>
      <c r="C44" s="1"/>
      <c r="D44" s="19"/>
      <c r="E44" s="1"/>
      <c r="F44" s="1"/>
      <c r="G44" s="1"/>
      <c r="H44" s="19"/>
      <c r="I44" s="19"/>
      <c r="J44" s="19"/>
      <c r="K44" s="19"/>
      <c r="L44" s="19"/>
      <c r="M44" s="19"/>
      <c r="N44" s="19"/>
    </row>
    <row r="45" spans="1:14" x14ac:dyDescent="0.2">
      <c r="B45" s="82" t="s">
        <v>86</v>
      </c>
      <c r="C45" s="11"/>
      <c r="D45" s="11"/>
      <c r="E45" s="11"/>
      <c r="F45" s="11"/>
      <c r="G45" s="11"/>
      <c r="H45" s="11"/>
      <c r="I45" s="11"/>
      <c r="J45" s="11"/>
      <c r="K45" s="19"/>
      <c r="L45" s="19"/>
      <c r="M45" s="19"/>
      <c r="N45" s="19"/>
    </row>
    <row r="46" spans="1:14" x14ac:dyDescent="0.2">
      <c r="C46" s="1"/>
      <c r="D46" s="19"/>
      <c r="E46" s="1"/>
      <c r="F46" s="1"/>
      <c r="G46" s="1"/>
      <c r="H46" s="19"/>
      <c r="I46" s="19"/>
      <c r="J46" s="19"/>
      <c r="K46" s="19"/>
      <c r="L46" s="19"/>
      <c r="M46" s="19"/>
      <c r="N46" s="19"/>
    </row>
    <row r="47" spans="1:14" x14ac:dyDescent="0.2">
      <c r="B47" t="s">
        <v>67</v>
      </c>
      <c r="C47" s="1"/>
      <c r="D47" s="19"/>
      <c r="E47" s="1"/>
      <c r="F47" s="1"/>
      <c r="G47" s="1"/>
      <c r="H47" s="19"/>
      <c r="I47" s="19"/>
      <c r="J47" s="19"/>
      <c r="K47" s="19"/>
      <c r="L47" s="19"/>
      <c r="M47" s="19"/>
      <c r="N47" s="19"/>
    </row>
    <row r="48" spans="1:14" x14ac:dyDescent="0.2">
      <c r="B48" s="102" t="s">
        <v>73</v>
      </c>
      <c r="C48" s="102"/>
      <c r="D48" s="102"/>
      <c r="E48" s="141">
        <v>20</v>
      </c>
      <c r="F48" s="102" t="s">
        <v>576</v>
      </c>
      <c r="G48" s="103" t="s">
        <v>64</v>
      </c>
      <c r="H48" s="103"/>
      <c r="I48" s="103"/>
      <c r="J48" s="142">
        <f>0.5*E48/(SIN(0.5*E49/180*PI()))</f>
        <v>229.25585626053348</v>
      </c>
      <c r="K48" s="103" t="s">
        <v>576</v>
      </c>
      <c r="L48" s="19"/>
      <c r="M48" s="19"/>
      <c r="N48" s="19"/>
    </row>
    <row r="49" spans="1:19" x14ac:dyDescent="0.2">
      <c r="B49" s="102" t="s">
        <v>65</v>
      </c>
      <c r="C49" s="102"/>
      <c r="D49" s="102"/>
      <c r="E49" s="141">
        <v>5</v>
      </c>
      <c r="F49" s="102" t="s">
        <v>1076</v>
      </c>
      <c r="G49" s="103" t="s">
        <v>63</v>
      </c>
      <c r="H49" s="103"/>
      <c r="I49" s="103"/>
      <c r="J49" s="142">
        <f>ABS(E49)</f>
        <v>5</v>
      </c>
      <c r="K49" s="103" t="s">
        <v>1076</v>
      </c>
      <c r="L49" s="19"/>
      <c r="M49" s="19"/>
      <c r="N49" s="19"/>
    </row>
    <row r="50" spans="1:19" x14ac:dyDescent="0.2">
      <c r="C50" s="1"/>
      <c r="D50" s="19"/>
      <c r="E50" s="1"/>
      <c r="F50" s="1"/>
      <c r="G50" s="1"/>
      <c r="H50" s="19"/>
      <c r="I50" s="19"/>
      <c r="J50" s="19"/>
      <c r="K50" s="19"/>
      <c r="L50" s="19"/>
      <c r="M50" s="19"/>
      <c r="N50" s="19"/>
    </row>
    <row r="51" spans="1:19" x14ac:dyDescent="0.2">
      <c r="B51" t="s">
        <v>68</v>
      </c>
      <c r="C51" s="1"/>
      <c r="D51" s="19"/>
      <c r="E51" s="1"/>
      <c r="F51" s="1"/>
      <c r="G51" s="1"/>
      <c r="H51" s="19"/>
      <c r="I51" s="19"/>
      <c r="J51" s="19"/>
      <c r="K51" s="19"/>
      <c r="L51" s="19"/>
      <c r="M51" s="19"/>
      <c r="N51" s="19"/>
    </row>
    <row r="52" spans="1:19" x14ac:dyDescent="0.2">
      <c r="B52" s="102" t="s">
        <v>74</v>
      </c>
      <c r="C52" s="102"/>
      <c r="D52" s="102"/>
      <c r="E52" s="141">
        <v>100</v>
      </c>
      <c r="F52" s="102" t="s">
        <v>66</v>
      </c>
      <c r="G52" s="103" t="s">
        <v>64</v>
      </c>
      <c r="H52" s="103"/>
      <c r="I52" s="103"/>
      <c r="J52" s="142">
        <f>0.5*E52*0.3048/(SIN(0.5*ABS(E53)/180*PI()))</f>
        <v>349.38592494105302</v>
      </c>
      <c r="K52" s="103" t="s">
        <v>576</v>
      </c>
      <c r="L52" s="19"/>
      <c r="M52" s="19"/>
      <c r="N52" s="19"/>
    </row>
    <row r="53" spans="1:19" x14ac:dyDescent="0.2">
      <c r="B53" s="102" t="s">
        <v>65</v>
      </c>
      <c r="C53" s="102"/>
      <c r="D53" s="102"/>
      <c r="E53" s="141">
        <v>5</v>
      </c>
      <c r="F53" s="102" t="s">
        <v>1076</v>
      </c>
      <c r="G53" s="103" t="s">
        <v>63</v>
      </c>
      <c r="H53" s="103"/>
      <c r="I53" s="103"/>
      <c r="J53" s="142">
        <f>ABS(E53)</f>
        <v>5</v>
      </c>
      <c r="K53" s="103" t="s">
        <v>1076</v>
      </c>
      <c r="L53" s="19"/>
      <c r="M53" s="19"/>
      <c r="N53" s="19"/>
    </row>
    <row r="54" spans="1:19" x14ac:dyDescent="0.2">
      <c r="B54" s="40" t="s">
        <v>461</v>
      </c>
      <c r="C54" s="1"/>
      <c r="D54" s="19"/>
      <c r="E54" s="1"/>
      <c r="F54" s="1"/>
      <c r="G54" s="1"/>
      <c r="H54" s="19"/>
      <c r="I54" s="19"/>
      <c r="J54" s="19"/>
      <c r="K54" s="19"/>
      <c r="L54" s="19"/>
      <c r="M54" s="19"/>
      <c r="N54" s="19"/>
    </row>
    <row r="55" spans="1:19" x14ac:dyDescent="0.2">
      <c r="C55" s="1"/>
      <c r="D55" s="19"/>
      <c r="E55" s="1"/>
      <c r="F55" s="1"/>
      <c r="G55" s="1"/>
      <c r="H55" s="19"/>
      <c r="I55" s="19"/>
      <c r="J55" s="19"/>
      <c r="K55" s="19"/>
      <c r="L55" s="19"/>
      <c r="M55" s="19"/>
      <c r="N55" s="19"/>
    </row>
    <row r="56" spans="1:19" x14ac:dyDescent="0.2">
      <c r="A56" s="82" t="s">
        <v>687</v>
      </c>
      <c r="B56" s="11"/>
      <c r="C56" s="11"/>
      <c r="D56" s="10"/>
      <c r="E56" s="70">
        <v>200</v>
      </c>
      <c r="F56" t="s">
        <v>1202</v>
      </c>
      <c r="G56" s="1"/>
      <c r="H56" s="19"/>
      <c r="I56" s="19"/>
      <c r="J56" s="19"/>
      <c r="K56" s="19"/>
      <c r="L56" s="19"/>
      <c r="M56" s="19"/>
      <c r="N56" s="19"/>
    </row>
    <row r="57" spans="1:19" x14ac:dyDescent="0.2">
      <c r="A57" s="47"/>
    </row>
    <row r="58" spans="1:19" x14ac:dyDescent="0.2">
      <c r="A58" s="87" t="s">
        <v>79</v>
      </c>
      <c r="B58" s="11"/>
      <c r="C58" s="11"/>
      <c r="D58" s="10"/>
      <c r="E58" s="70">
        <v>11.459155902616464</v>
      </c>
      <c r="F58" t="s">
        <v>46</v>
      </c>
      <c r="H58" s="108" t="s">
        <v>459</v>
      </c>
      <c r="I58" s="142">
        <f>ABS(E58)/180*PI()</f>
        <v>0.19999999999999998</v>
      </c>
      <c r="J58" s="103" t="s">
        <v>61</v>
      </c>
      <c r="L58" s="59"/>
      <c r="S58" s="59"/>
    </row>
    <row r="59" spans="1:19" hidden="1" x14ac:dyDescent="0.2">
      <c r="I59" s="1"/>
      <c r="J59" s="53"/>
      <c r="K59" s="1"/>
      <c r="M59" s="1"/>
      <c r="O59" s="53"/>
      <c r="P59" s="1"/>
    </row>
    <row r="60" spans="1:19" hidden="1" x14ac:dyDescent="0.2">
      <c r="I60" s="1"/>
      <c r="J60" s="53" t="s">
        <v>1221</v>
      </c>
      <c r="K60" s="1" t="s">
        <v>40</v>
      </c>
      <c r="L60" s="1" t="s">
        <v>41</v>
      </c>
      <c r="M60" s="1" t="s">
        <v>42</v>
      </c>
      <c r="O60" s="53" t="s">
        <v>1220</v>
      </c>
      <c r="P60" s="1" t="s">
        <v>207</v>
      </c>
    </row>
    <row r="61" spans="1:19" hidden="1" x14ac:dyDescent="0.2">
      <c r="J61" s="1">
        <f>SQRT(K61^2+L61^2+M61^2)</f>
        <v>0</v>
      </c>
      <c r="K61" s="1">
        <f>M64*H25</f>
        <v>0</v>
      </c>
      <c r="L61" s="1">
        <f>M64*I25</f>
        <v>0</v>
      </c>
      <c r="M61" s="1">
        <f>M64*J25</f>
        <v>0</v>
      </c>
      <c r="N61" s="20" t="s">
        <v>34</v>
      </c>
      <c r="O61" s="1">
        <f>COS(0.5*PI()/180*L63)</f>
        <v>0.99500416527802582</v>
      </c>
      <c r="P61" s="1">
        <f>COS(PI()/180*L63)</f>
        <v>0.98006657784124163</v>
      </c>
    </row>
    <row r="62" spans="1:19" hidden="1" x14ac:dyDescent="0.2">
      <c r="D62" s="1" t="s">
        <v>1208</v>
      </c>
      <c r="E62" s="1" t="s">
        <v>1209</v>
      </c>
      <c r="F62" s="1" t="s">
        <v>1210</v>
      </c>
      <c r="G62" s="1" t="s">
        <v>1211</v>
      </c>
      <c r="H62" s="1" t="s">
        <v>47</v>
      </c>
      <c r="I62" s="1"/>
      <c r="J62" s="41"/>
      <c r="L62" s="1" t="s">
        <v>48</v>
      </c>
      <c r="M62" s="57"/>
      <c r="N62" s="20" t="s">
        <v>35</v>
      </c>
      <c r="O62" s="1">
        <f>SIN(0.5*PI()/180*L63)</f>
        <v>9.9833416646828155E-2</v>
      </c>
      <c r="P62" s="1">
        <f>SIN(PI()/180*L63)</f>
        <v>0.19866933079506122</v>
      </c>
    </row>
    <row r="63" spans="1:19" hidden="1" x14ac:dyDescent="0.2">
      <c r="C63" s="1" t="s">
        <v>950</v>
      </c>
      <c r="D63" s="1">
        <f>O61</f>
        <v>0.99500416527802582</v>
      </c>
      <c r="E63" s="1">
        <f>O62</f>
        <v>9.9833416646828155E-2</v>
      </c>
      <c r="F63" s="1">
        <v>0</v>
      </c>
      <c r="G63" s="1">
        <v>0</v>
      </c>
      <c r="H63" s="1">
        <f>2*180/PI()*ATAN(G61*0.5*COS(K25)/E56)</f>
        <v>0</v>
      </c>
      <c r="I63" s="1"/>
      <c r="J63" s="1"/>
      <c r="K63" s="1"/>
      <c r="L63" s="1">
        <f>E58</f>
        <v>11.459155902616464</v>
      </c>
    </row>
    <row r="64" spans="1:19" hidden="1" x14ac:dyDescent="0.2">
      <c r="C64" s="1" t="s">
        <v>951</v>
      </c>
      <c r="D64" s="1">
        <f>O61</f>
        <v>0.99500416527802582</v>
      </c>
      <c r="E64" s="1">
        <f>-O62</f>
        <v>-9.9833416646828155E-2</v>
      </c>
      <c r="F64" s="1">
        <v>0</v>
      </c>
      <c r="G64" s="1">
        <v>0</v>
      </c>
      <c r="H64" s="1" t="s">
        <v>49</v>
      </c>
      <c r="I64" s="1"/>
      <c r="J64" s="1">
        <f>2*E56*SIN(0.5*PI()/180*E58)*COS(PI()/180*K25)</f>
        <v>39.933366658731259</v>
      </c>
      <c r="K64" s="1" t="s">
        <v>50</v>
      </c>
      <c r="L64" s="1"/>
      <c r="M64" s="1">
        <f>J64</f>
        <v>39.933366658731259</v>
      </c>
    </row>
    <row r="65" spans="1:19" x14ac:dyDescent="0.2">
      <c r="H65" s="1"/>
      <c r="I65" s="1"/>
      <c r="J65" s="1"/>
      <c r="L65" s="59"/>
      <c r="S65" s="59"/>
    </row>
    <row r="66" spans="1:19" x14ac:dyDescent="0.2">
      <c r="A66" s="82" t="s">
        <v>683</v>
      </c>
      <c r="B66" s="11"/>
      <c r="C66" s="11"/>
      <c r="D66" s="11"/>
    </row>
    <row r="68" spans="1:19" x14ac:dyDescent="0.2">
      <c r="A68" t="s">
        <v>81</v>
      </c>
    </row>
    <row r="69" spans="1:19" x14ac:dyDescent="0.2">
      <c r="B69" t="s">
        <v>555</v>
      </c>
    </row>
    <row r="70" spans="1:19" x14ac:dyDescent="0.2">
      <c r="B70" t="s">
        <v>740</v>
      </c>
    </row>
    <row r="72" spans="1:19" x14ac:dyDescent="0.2">
      <c r="B72" s="82" t="s">
        <v>557</v>
      </c>
      <c r="C72" s="11"/>
      <c r="D72" s="70">
        <v>-12925</v>
      </c>
      <c r="F72" s="82" t="s">
        <v>556</v>
      </c>
      <c r="G72" s="11"/>
      <c r="H72" s="70">
        <v>14196</v>
      </c>
    </row>
    <row r="74" spans="1:19" x14ac:dyDescent="0.2">
      <c r="A74" s="82" t="s">
        <v>684</v>
      </c>
      <c r="B74" s="11"/>
      <c r="C74" s="11"/>
      <c r="D74" s="11"/>
      <c r="E74" s="11"/>
      <c r="F74" s="11"/>
      <c r="G74" s="11"/>
    </row>
    <row r="76" spans="1:19" x14ac:dyDescent="0.2">
      <c r="A76" s="42"/>
      <c r="B76" s="11" t="s">
        <v>55</v>
      </c>
      <c r="C76" s="11"/>
      <c r="D76" s="11"/>
      <c r="E76" s="11"/>
      <c r="F76" s="11"/>
      <c r="G76" s="11"/>
      <c r="H76" s="11"/>
      <c r="I76" s="67" t="s">
        <v>1159</v>
      </c>
      <c r="L76" s="19">
        <f>VALUE(MID(I76,1,L77-1))</f>
        <v>-384.154</v>
      </c>
      <c r="M76" s="19">
        <f>VALUE(MID(I76,L77+1,M77-L77-1))</f>
        <v>1.00098</v>
      </c>
      <c r="N76" s="19">
        <f>VALUE(MID(I76,M77+1,N77-M77))</f>
        <v>-245.786</v>
      </c>
    </row>
    <row r="77" spans="1:19" x14ac:dyDescent="0.2">
      <c r="A77" s="42"/>
      <c r="C77" t="s">
        <v>176</v>
      </c>
      <c r="I77" s="2"/>
      <c r="L77" s="1">
        <f>SEARCH(" ",I76,1)</f>
        <v>9</v>
      </c>
      <c r="M77" s="1">
        <f>SEARCH(" ",I76,L77+1)</f>
        <v>17</v>
      </c>
      <c r="N77" s="1">
        <f>LEN(I76)</f>
        <v>25</v>
      </c>
    </row>
    <row r="78" spans="1:19" x14ac:dyDescent="0.2">
      <c r="A78" s="42"/>
      <c r="C78" t="s">
        <v>11</v>
      </c>
      <c r="I78" s="2"/>
    </row>
    <row r="79" spans="1:19" x14ac:dyDescent="0.2">
      <c r="A79" s="42"/>
      <c r="I79" s="2"/>
    </row>
    <row r="80" spans="1:19" x14ac:dyDescent="0.2">
      <c r="A80" s="82" t="s">
        <v>338</v>
      </c>
      <c r="B80" s="82"/>
      <c r="C80" s="82"/>
      <c r="D80" s="82"/>
      <c r="E80" s="82"/>
      <c r="F80" s="82"/>
      <c r="G80" s="82"/>
      <c r="I80" s="2"/>
    </row>
    <row r="81" spans="1:12" x14ac:dyDescent="0.2">
      <c r="A81" s="42"/>
      <c r="I81" s="2"/>
    </row>
    <row r="82" spans="1:12" x14ac:dyDescent="0.2">
      <c r="A82" s="82" t="s">
        <v>686</v>
      </c>
      <c r="B82" s="11"/>
      <c r="C82" s="11"/>
      <c r="D82" s="10"/>
      <c r="E82" s="70">
        <v>100</v>
      </c>
      <c r="F82" t="s">
        <v>1202</v>
      </c>
      <c r="I82" s="2"/>
      <c r="L82" s="59"/>
    </row>
    <row r="83" spans="1:12" hidden="1" x14ac:dyDescent="0.2"/>
    <row r="84" spans="1:12" hidden="1" x14ac:dyDescent="0.2">
      <c r="B84" s="1" t="s">
        <v>1153</v>
      </c>
      <c r="C84" s="1"/>
      <c r="D84" s="1"/>
      <c r="E84" s="1">
        <f>O26*O26-P26*P26-Q26*Q26+R26*R26</f>
        <v>0.8660248973439999</v>
      </c>
      <c r="F84" s="1">
        <f>2*O26*P26-2*Q26*R26</f>
        <v>-0.46984635860799995</v>
      </c>
      <c r="G84" s="1">
        <f>2*O26*Q26+2*P26*R26</f>
        <v>0.17100905017999996</v>
      </c>
      <c r="H84" s="1"/>
      <c r="I84" s="1" t="s">
        <v>1155</v>
      </c>
      <c r="J84" s="1">
        <f>COS(I58)</f>
        <v>0.98006657784124163</v>
      </c>
    </row>
    <row r="85" spans="1:12" hidden="1" x14ac:dyDescent="0.2">
      <c r="B85" s="1" t="s">
        <v>1154</v>
      </c>
      <c r="C85" s="1"/>
      <c r="D85" s="1"/>
      <c r="E85" s="1">
        <f>2*O26*Q26-2*P26*R26</f>
        <v>7.5540799999995745E-7</v>
      </c>
      <c r="F85" s="1">
        <f>2*O26*R26+2*P26*Q26</f>
        <v>0.34201933584399996</v>
      </c>
      <c r="G85" s="1">
        <f>-O26*O26-P26*P26+Q26*Q26+R26*R26</f>
        <v>0.93969228615999989</v>
      </c>
      <c r="H85" s="1"/>
      <c r="I85" s="1" t="s">
        <v>1156</v>
      </c>
      <c r="J85" s="1">
        <f>SIN(I58)</f>
        <v>0.19866933079506119</v>
      </c>
    </row>
    <row r="86" spans="1:12" hidden="1" x14ac:dyDescent="0.2">
      <c r="B86" s="1"/>
      <c r="C86" s="1"/>
      <c r="D86" s="1"/>
      <c r="E86" s="1"/>
      <c r="F86" s="1"/>
      <c r="G86" s="1"/>
      <c r="H86" s="1"/>
      <c r="I86" s="1"/>
      <c r="J86" s="1"/>
    </row>
    <row r="87" spans="1:12" hidden="1" x14ac:dyDescent="0.2">
      <c r="B87" s="1" t="s">
        <v>1157</v>
      </c>
      <c r="C87" s="1"/>
      <c r="D87" s="1"/>
      <c r="E87" s="1">
        <f>-E56*(1-J84)*E84+E56*J85*E85</f>
        <v>-3.4525379604702993</v>
      </c>
      <c r="F87" s="1">
        <f>-E56*(1-J84)*F84+E56*J85*F85</f>
        <v>15.462879677397479</v>
      </c>
      <c r="G87" s="1">
        <f>-E56*(1-J84)*G84+E56*J85*G85</f>
        <v>36.655848410896411</v>
      </c>
      <c r="H87" s="1"/>
      <c r="I87" s="1"/>
      <c r="J87" s="1"/>
    </row>
    <row r="88" spans="1:12" hidden="1" x14ac:dyDescent="0.2">
      <c r="B88" s="1" t="s">
        <v>1158</v>
      </c>
      <c r="C88" s="1"/>
      <c r="D88" s="1"/>
      <c r="E88" s="1">
        <f>L76+E87</f>
        <v>-387.60653796047029</v>
      </c>
      <c r="F88" s="1">
        <f>M76+F87</f>
        <v>16.46385967739748</v>
      </c>
      <c r="G88" s="1">
        <f>N76+G87</f>
        <v>-209.1301515891036</v>
      </c>
      <c r="H88" s="1"/>
      <c r="I88" s="1"/>
      <c r="J88" s="1"/>
    </row>
    <row r="89" spans="1:12" hidden="1" x14ac:dyDescent="0.2">
      <c r="B89" s="1" t="s">
        <v>685</v>
      </c>
      <c r="C89" s="1"/>
      <c r="D89" s="1"/>
      <c r="E89" s="1">
        <f>L76+E87*(E82+E56)/E56</f>
        <v>-389.33280694070544</v>
      </c>
      <c r="F89" s="1">
        <f>M76+F87*(E82+E56)/E56</f>
        <v>24.19529951609622</v>
      </c>
      <c r="G89" s="1">
        <f>N76+G87*(E82+E56)/E56</f>
        <v>-190.80222738365538</v>
      </c>
      <c r="H89" s="1"/>
      <c r="I89" s="1"/>
      <c r="J89" s="1"/>
    </row>
    <row r="90" spans="1:12" x14ac:dyDescent="0.2">
      <c r="L90" s="59"/>
    </row>
    <row r="91" spans="1:12" x14ac:dyDescent="0.2">
      <c r="A91" s="56" t="s">
        <v>877</v>
      </c>
      <c r="B91" s="13" t="s">
        <v>688</v>
      </c>
      <c r="E91" s="74" t="str">
        <f>CONCATENATE(TEXT(E89,"0.000000")," ",TEXT(F89,"0.000000")," ",TEXT(G89,"0.000000"))</f>
        <v>-389.332807 24.195300 -190.802227</v>
      </c>
    </row>
    <row r="93" spans="1:12" x14ac:dyDescent="0.2">
      <c r="A93" s="56" t="s">
        <v>877</v>
      </c>
      <c r="B93" s="13" t="s">
        <v>689</v>
      </c>
      <c r="E93" s="74" t="str">
        <f>CONCATENATE(TEXT(-Q26,"0.000000")," ",TEXT(-R26,"0.000000")," ",TEXT(O26,"0.000000")," ",TEXT(P26,"0.000000"))</f>
        <v>-0.254887 -0.951251 0.167731 0.044943</v>
      </c>
    </row>
    <row r="94" spans="1:12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A2" sqref="A2"/>
    </sheetView>
  </sheetViews>
  <sheetFormatPr defaultRowHeight="12.75" x14ac:dyDescent="0.2"/>
  <cols>
    <col min="1" max="1" width="11.140625" customWidth="1"/>
  </cols>
  <sheetData>
    <row r="1" spans="1:8" s="5" customFormat="1" x14ac:dyDescent="0.2">
      <c r="A1" s="14" t="s">
        <v>819</v>
      </c>
      <c r="B1" s="14"/>
      <c r="C1" s="14"/>
      <c r="D1" s="14"/>
      <c r="E1" s="14"/>
      <c r="F1" s="14"/>
      <c r="G1" s="14"/>
      <c r="H1" s="14"/>
    </row>
    <row r="3" spans="1:8" x14ac:dyDescent="0.2">
      <c r="A3" s="33" t="s">
        <v>823</v>
      </c>
    </row>
    <row r="5" spans="1:8" x14ac:dyDescent="0.2">
      <c r="A5" t="s">
        <v>533</v>
      </c>
    </row>
    <row r="6" spans="1:8" x14ac:dyDescent="0.2">
      <c r="C6" t="s">
        <v>265</v>
      </c>
    </row>
    <row r="7" spans="1:8" x14ac:dyDescent="0.2">
      <c r="C7" t="s">
        <v>266</v>
      </c>
    </row>
    <row r="8" spans="1:8" x14ac:dyDescent="0.2">
      <c r="C8" t="s">
        <v>333</v>
      </c>
    </row>
    <row r="9" spans="1:8" x14ac:dyDescent="0.2">
      <c r="C9" t="s">
        <v>267</v>
      </c>
    </row>
    <row r="10" spans="1:8" x14ac:dyDescent="0.2">
      <c r="B10" t="s">
        <v>927</v>
      </c>
    </row>
    <row r="12" spans="1:8" x14ac:dyDescent="0.2">
      <c r="A12" t="s">
        <v>534</v>
      </c>
    </row>
    <row r="13" spans="1:8" x14ac:dyDescent="0.2">
      <c r="C13" t="s">
        <v>1077</v>
      </c>
    </row>
    <row r="14" spans="1:8" x14ac:dyDescent="0.2">
      <c r="C14" t="s">
        <v>447</v>
      </c>
    </row>
    <row r="15" spans="1:8" x14ac:dyDescent="0.2">
      <c r="C15" t="s">
        <v>448</v>
      </c>
    </row>
    <row r="16" spans="1:8" x14ac:dyDescent="0.2">
      <c r="B16" t="s">
        <v>928</v>
      </c>
    </row>
    <row r="17" spans="1:4" s="28" customFormat="1" ht="13.5" thickBot="1" x14ac:dyDescent="0.25"/>
    <row r="18" spans="1:4" x14ac:dyDescent="0.2">
      <c r="A18" s="82" t="s">
        <v>618</v>
      </c>
      <c r="B18" s="10"/>
      <c r="C18" s="10"/>
      <c r="D18" s="10"/>
    </row>
    <row r="20" spans="1:4" x14ac:dyDescent="0.2">
      <c r="A20" t="s">
        <v>435</v>
      </c>
    </row>
    <row r="21" spans="1:4" x14ac:dyDescent="0.2">
      <c r="B21" t="s">
        <v>45</v>
      </c>
      <c r="C21" s="3" t="s">
        <v>429</v>
      </c>
    </row>
    <row r="22" spans="1:4" x14ac:dyDescent="0.2">
      <c r="C22" s="3" t="s">
        <v>430</v>
      </c>
    </row>
    <row r="23" spans="1:4" x14ac:dyDescent="0.2">
      <c r="B23" t="s">
        <v>843</v>
      </c>
      <c r="C23" t="s">
        <v>357</v>
      </c>
    </row>
    <row r="24" spans="1:4" x14ac:dyDescent="0.2">
      <c r="D24" t="s">
        <v>334</v>
      </c>
    </row>
    <row r="25" spans="1:4" x14ac:dyDescent="0.2">
      <c r="B25" t="s">
        <v>433</v>
      </c>
      <c r="C25" t="s">
        <v>431</v>
      </c>
    </row>
    <row r="26" spans="1:4" x14ac:dyDescent="0.2">
      <c r="D26" t="s">
        <v>619</v>
      </c>
    </row>
    <row r="27" spans="1:4" x14ac:dyDescent="0.2">
      <c r="B27" t="s">
        <v>843</v>
      </c>
      <c r="C27" s="56" t="s">
        <v>620</v>
      </c>
    </row>
    <row r="29" spans="1:4" x14ac:dyDescent="0.2">
      <c r="A29" s="33" t="s">
        <v>434</v>
      </c>
      <c r="B29" s="83" t="s">
        <v>1286</v>
      </c>
      <c r="C29" t="s">
        <v>441</v>
      </c>
    </row>
    <row r="30" spans="1:4" x14ac:dyDescent="0.2">
      <c r="B30" s="83" t="s">
        <v>1287</v>
      </c>
      <c r="C30" t="s">
        <v>335</v>
      </c>
    </row>
    <row r="31" spans="1:4" x14ac:dyDescent="0.2">
      <c r="B31" s="84"/>
      <c r="D31" t="s">
        <v>532</v>
      </c>
    </row>
    <row r="32" spans="1:4" x14ac:dyDescent="0.2">
      <c r="B32" s="83" t="s">
        <v>1288</v>
      </c>
      <c r="C32" t="s">
        <v>436</v>
      </c>
    </row>
    <row r="33" spans="1:4" x14ac:dyDescent="0.2">
      <c r="B33" s="83" t="s">
        <v>1289</v>
      </c>
      <c r="C33" t="s">
        <v>442</v>
      </c>
    </row>
    <row r="34" spans="1:4" x14ac:dyDescent="0.2">
      <c r="B34" s="83" t="s">
        <v>1290</v>
      </c>
      <c r="C34" t="s">
        <v>437</v>
      </c>
    </row>
    <row r="35" spans="1:4" x14ac:dyDescent="0.2">
      <c r="B35" s="83" t="s">
        <v>1291</v>
      </c>
      <c r="C35" t="s">
        <v>443</v>
      </c>
    </row>
    <row r="36" spans="1:4" x14ac:dyDescent="0.2">
      <c r="B36" s="83" t="s">
        <v>1292</v>
      </c>
      <c r="C36" t="s">
        <v>438</v>
      </c>
    </row>
    <row r="37" spans="1:4" x14ac:dyDescent="0.2">
      <c r="B37" s="83" t="s">
        <v>1293</v>
      </c>
      <c r="C37" t="s">
        <v>444</v>
      </c>
    </row>
    <row r="38" spans="1:4" x14ac:dyDescent="0.2">
      <c r="B38" s="84"/>
      <c r="C38" s="13" t="s">
        <v>536</v>
      </c>
    </row>
    <row r="39" spans="1:4" x14ac:dyDescent="0.2">
      <c r="B39" s="84"/>
      <c r="D39" t="s">
        <v>535</v>
      </c>
    </row>
    <row r="40" spans="1:4" x14ac:dyDescent="0.2">
      <c r="B40" s="83" t="s">
        <v>1294</v>
      </c>
      <c r="C40" t="s">
        <v>445</v>
      </c>
    </row>
    <row r="41" spans="1:4" x14ac:dyDescent="0.2">
      <c r="B41" s="83" t="s">
        <v>215</v>
      </c>
      <c r="C41" t="s">
        <v>216</v>
      </c>
    </row>
    <row r="43" spans="1:4" x14ac:dyDescent="0.2">
      <c r="A43" t="s">
        <v>439</v>
      </c>
    </row>
    <row r="45" spans="1:4" x14ac:dyDescent="0.2">
      <c r="A45" t="s">
        <v>440</v>
      </c>
    </row>
    <row r="46" spans="1:4" x14ac:dyDescent="0.2">
      <c r="B46" t="s">
        <v>446</v>
      </c>
    </row>
    <row r="47" spans="1:4" s="29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8"/>
  <sheetViews>
    <sheetView workbookViewId="0">
      <selection activeCell="A2" sqref="A2"/>
    </sheetView>
  </sheetViews>
  <sheetFormatPr defaultRowHeight="12.75" x14ac:dyDescent="0.2"/>
  <cols>
    <col min="3" max="3" width="12.42578125" bestFit="1" customWidth="1"/>
    <col min="9" max="9" width="12.42578125" bestFit="1" customWidth="1"/>
    <col min="11" max="11" width="11.140625" customWidth="1"/>
    <col min="14" max="18" width="0" hidden="1" customWidth="1"/>
  </cols>
  <sheetData>
    <row r="1" spans="1:9" s="5" customFormat="1" x14ac:dyDescent="0.2">
      <c r="A1" s="14" t="s">
        <v>670</v>
      </c>
      <c r="B1" s="14"/>
      <c r="C1" s="14"/>
      <c r="D1" s="14"/>
      <c r="E1" s="14"/>
      <c r="F1" s="14"/>
    </row>
    <row r="3" spans="1:9" x14ac:dyDescent="0.2">
      <c r="A3" s="33" t="s">
        <v>361</v>
      </c>
    </row>
    <row r="4" spans="1:9" x14ac:dyDescent="0.2">
      <c r="B4" t="s">
        <v>1043</v>
      </c>
    </row>
    <row r="5" spans="1:9" x14ac:dyDescent="0.2">
      <c r="B5" t="s">
        <v>1044</v>
      </c>
    </row>
    <row r="6" spans="1:9" x14ac:dyDescent="0.2">
      <c r="B6" t="s">
        <v>507</v>
      </c>
    </row>
    <row r="7" spans="1:9" x14ac:dyDescent="0.2">
      <c r="B7" s="41" t="s">
        <v>508</v>
      </c>
    </row>
    <row r="9" spans="1:9" x14ac:dyDescent="0.2">
      <c r="A9" s="41" t="s">
        <v>1042</v>
      </c>
    </row>
    <row r="10" spans="1:9" x14ac:dyDescent="0.2">
      <c r="B10" t="s">
        <v>1057</v>
      </c>
    </row>
    <row r="12" spans="1:9" x14ac:dyDescent="0.2">
      <c r="A12" t="s">
        <v>1058</v>
      </c>
    </row>
    <row r="13" spans="1:9" s="28" customFormat="1" ht="13.5" thickBot="1" x14ac:dyDescent="0.25"/>
    <row r="14" spans="1:9" s="27" customFormat="1" x14ac:dyDescent="0.2">
      <c r="A14" s="8" t="s">
        <v>544</v>
      </c>
      <c r="B14" s="8"/>
      <c r="C14" s="8"/>
      <c r="D14" s="8"/>
      <c r="E14" s="8"/>
      <c r="F14" s="8"/>
    </row>
    <row r="16" spans="1:9" x14ac:dyDescent="0.2">
      <c r="A16" s="82" t="s">
        <v>1045</v>
      </c>
      <c r="B16" s="82"/>
      <c r="C16" s="82"/>
      <c r="D16" s="82"/>
      <c r="E16" s="82"/>
      <c r="F16" s="82"/>
      <c r="G16" s="82"/>
      <c r="H16" s="82"/>
      <c r="I16" s="82"/>
    </row>
    <row r="18" spans="1:26" x14ac:dyDescent="0.2">
      <c r="B18" t="s">
        <v>287</v>
      </c>
    </row>
    <row r="20" spans="1:26" x14ac:dyDescent="0.2">
      <c r="A20" s="82" t="s">
        <v>1046</v>
      </c>
      <c r="B20" s="82"/>
      <c r="C20" s="82"/>
      <c r="D20" s="82"/>
      <c r="E20" s="82"/>
      <c r="F20" s="82"/>
      <c r="G20" s="82"/>
      <c r="H20" s="82"/>
      <c r="I20" s="82"/>
    </row>
    <row r="22" spans="1:26" x14ac:dyDescent="0.2">
      <c r="B22" t="s">
        <v>287</v>
      </c>
    </row>
    <row r="24" spans="1:26" x14ac:dyDescent="0.2">
      <c r="A24" s="82" t="s">
        <v>288</v>
      </c>
      <c r="B24" s="82"/>
    </row>
    <row r="26" spans="1:26" x14ac:dyDescent="0.2">
      <c r="A26" s="82" t="s">
        <v>1047</v>
      </c>
      <c r="B26" s="11"/>
      <c r="C26" s="11"/>
      <c r="D26" s="11"/>
      <c r="E26" s="11"/>
      <c r="F26" s="11"/>
      <c r="G26" s="11"/>
    </row>
    <row r="27" spans="1:26" x14ac:dyDescent="0.2">
      <c r="O27" s="19" t="s">
        <v>937</v>
      </c>
      <c r="P27" s="19" t="s">
        <v>938</v>
      </c>
      <c r="Q27" s="19" t="s">
        <v>939</v>
      </c>
      <c r="R27" s="19" t="s">
        <v>940</v>
      </c>
      <c r="S27" s="1"/>
      <c r="T27" s="1"/>
      <c r="U27" s="1"/>
      <c r="V27" s="34"/>
      <c r="W27" s="1"/>
      <c r="X27" s="34"/>
      <c r="Y27" s="34"/>
      <c r="Z27" s="1"/>
    </row>
    <row r="28" spans="1:26" x14ac:dyDescent="0.2">
      <c r="B28" s="82" t="s">
        <v>342</v>
      </c>
      <c r="C28" s="11"/>
      <c r="D28" s="11"/>
      <c r="E28" s="11"/>
      <c r="F28" s="11"/>
      <c r="G28" s="11"/>
      <c r="H28" s="11"/>
      <c r="I28" s="67" t="s">
        <v>298</v>
      </c>
      <c r="N28" s="1" t="s">
        <v>936</v>
      </c>
      <c r="O28" s="19">
        <f>VALUE(MID(I28,1,O29-1))</f>
        <v>0</v>
      </c>
      <c r="P28" s="19">
        <f>VALUE(MID(I28,O29+1,P29-O29-1))</f>
        <v>-0.987066</v>
      </c>
      <c r="Q28" s="19">
        <f>VALUE(MID(I28,P29+1,Q29-P29-1))</f>
        <v>0</v>
      </c>
      <c r="R28" s="19">
        <f>VALUE(MID(I28,Q29+1,R29-Q29))</f>
        <v>0.16031300000000001</v>
      </c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42"/>
      <c r="B29" t="s">
        <v>175</v>
      </c>
      <c r="I29" s="2"/>
      <c r="O29" s="1">
        <f>SEARCH(" ",I28,1)</f>
        <v>2</v>
      </c>
      <c r="P29" s="1">
        <f>SEARCH(" ",I28,O29+1)</f>
        <v>12</v>
      </c>
      <c r="Q29" s="1">
        <f>SEARCH(" ",I28,P29+1)</f>
        <v>14</v>
      </c>
      <c r="R29" s="1">
        <f>LEN(I28)</f>
        <v>22</v>
      </c>
      <c r="S29" s="19"/>
      <c r="T29" s="2"/>
      <c r="U29" s="2"/>
      <c r="V29" s="2"/>
      <c r="W29" s="2"/>
      <c r="X29" s="2"/>
      <c r="Y29" s="2"/>
      <c r="Z29" s="2"/>
    </row>
    <row r="31" spans="1:26" x14ac:dyDescent="0.2">
      <c r="G31" t="s">
        <v>698</v>
      </c>
    </row>
    <row r="32" spans="1:26" x14ac:dyDescent="0.2">
      <c r="B32" s="82" t="s">
        <v>702</v>
      </c>
      <c r="C32" s="11"/>
      <c r="D32" s="11"/>
      <c r="E32" s="11"/>
      <c r="F32" s="11"/>
      <c r="G32" s="11"/>
      <c r="H32" s="11"/>
      <c r="I32" s="67" t="s">
        <v>328</v>
      </c>
      <c r="L32" s="19">
        <f>VALUE(MID(I32,1,L33-1))</f>
        <v>24.4633</v>
      </c>
      <c r="M32" s="19">
        <f>VALUE(MID(I32,L33+1,M33-L33-1))</f>
        <v>0.99999800000000005</v>
      </c>
      <c r="N32" s="19">
        <f>VALUE(MID(I32,M33+1,N33-M33))</f>
        <v>-111.688</v>
      </c>
      <c r="O32" s="76" t="s">
        <v>291</v>
      </c>
    </row>
    <row r="33" spans="1:26" x14ac:dyDescent="0.2">
      <c r="B33" t="s">
        <v>175</v>
      </c>
      <c r="I33" s="2"/>
      <c r="L33" s="1">
        <f>SEARCH(" ",I32,1)</f>
        <v>8</v>
      </c>
      <c r="M33" s="1">
        <f>SEARCH(" ",I32,L33+1)</f>
        <v>17</v>
      </c>
      <c r="N33" s="1">
        <f>LEN(I32)</f>
        <v>25</v>
      </c>
    </row>
    <row r="34" spans="1:26" x14ac:dyDescent="0.2">
      <c r="I34" s="19"/>
      <c r="J34" s="19"/>
      <c r="K34" s="19"/>
      <c r="N34" s="19"/>
    </row>
    <row r="35" spans="1:26" x14ac:dyDescent="0.2">
      <c r="A35" s="82" t="s">
        <v>289</v>
      </c>
      <c r="B35" s="11"/>
      <c r="C35" s="11"/>
      <c r="D35" s="11"/>
      <c r="E35" s="11"/>
    </row>
    <row r="37" spans="1:26" x14ac:dyDescent="0.2">
      <c r="B37" s="82" t="s">
        <v>342</v>
      </c>
      <c r="C37" s="11"/>
      <c r="D37" s="11"/>
      <c r="E37" s="11"/>
      <c r="F37" s="11"/>
      <c r="G37" s="11"/>
      <c r="H37" s="11"/>
      <c r="I37" s="67" t="s">
        <v>299</v>
      </c>
      <c r="N37" s="1" t="s">
        <v>936</v>
      </c>
      <c r="O37" s="19">
        <f>VALUE(MID(I37,1,O38-1))</f>
        <v>0</v>
      </c>
      <c r="P37" s="19">
        <f>VALUE(MID(I37,O38+1,P38-O38-1))</f>
        <v>0.16031400000000001</v>
      </c>
      <c r="Q37" s="19">
        <f>VALUE(MID(I37,P38+1,Q38-P38-1))</f>
        <v>0</v>
      </c>
      <c r="R37" s="19">
        <f>VALUE(MID(I37,Q38+1,R38-Q38))</f>
        <v>0.987066</v>
      </c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42"/>
      <c r="B38" t="s">
        <v>175</v>
      </c>
      <c r="I38" s="2"/>
      <c r="O38" s="1">
        <f>SEARCH(" ",I37,1)</f>
        <v>2</v>
      </c>
      <c r="P38" s="1">
        <f>SEARCH(" ",I37,O38+1)</f>
        <v>11</v>
      </c>
      <c r="Q38" s="1">
        <f>SEARCH(" ",I37,P38+1)</f>
        <v>13</v>
      </c>
      <c r="R38" s="1">
        <f>LEN(I37)</f>
        <v>21</v>
      </c>
      <c r="S38" s="19"/>
      <c r="T38" s="2"/>
      <c r="U38" s="2"/>
      <c r="V38" s="2"/>
      <c r="W38" s="2"/>
      <c r="X38" s="2"/>
      <c r="Y38" s="2"/>
      <c r="Z38" s="2"/>
    </row>
    <row r="40" spans="1:26" x14ac:dyDescent="0.2">
      <c r="G40" t="s">
        <v>698</v>
      </c>
    </row>
    <row r="41" spans="1:26" x14ac:dyDescent="0.2">
      <c r="B41" s="82" t="s">
        <v>702</v>
      </c>
      <c r="C41" s="11"/>
      <c r="D41" s="11"/>
      <c r="E41" s="11"/>
      <c r="F41" s="11"/>
      <c r="G41" s="11"/>
      <c r="H41" s="11"/>
      <c r="I41" s="67" t="s">
        <v>329</v>
      </c>
      <c r="L41" s="19">
        <f>VALUE(MID(I41,1,L42-1))</f>
        <v>-10.562900000000001</v>
      </c>
      <c r="M41" s="19">
        <f>VALUE(MID(I41,L42+1,M42-L42-1))</f>
        <v>1</v>
      </c>
      <c r="N41" s="19">
        <f>VALUE(MID(I41,M42+1,N42-M42))</f>
        <v>-234.589</v>
      </c>
      <c r="O41" s="76" t="s">
        <v>292</v>
      </c>
    </row>
    <row r="42" spans="1:26" x14ac:dyDescent="0.2">
      <c r="B42" t="s">
        <v>175</v>
      </c>
      <c r="I42" s="2"/>
      <c r="L42" s="1">
        <f>SEARCH(" ",I41,1)</f>
        <v>9</v>
      </c>
      <c r="M42" s="1">
        <f>SEARCH(" ",I41,L42+1)</f>
        <v>11</v>
      </c>
      <c r="N42" s="1">
        <f>LEN(I41)</f>
        <v>19</v>
      </c>
    </row>
    <row r="43" spans="1:26" x14ac:dyDescent="0.2">
      <c r="M43" s="77"/>
      <c r="S43" s="77"/>
    </row>
    <row r="44" spans="1:26" hidden="1" x14ac:dyDescent="0.2">
      <c r="B44" s="1" t="s">
        <v>290</v>
      </c>
      <c r="C44" s="1"/>
      <c r="D44" s="1">
        <f>L41-L32</f>
        <v>-35.026200000000003</v>
      </c>
      <c r="E44" s="1">
        <f>M41-M32</f>
        <v>1.999999999946489E-6</v>
      </c>
      <c r="F44" s="1">
        <f>N41-N32</f>
        <v>-122.901</v>
      </c>
      <c r="G44" s="1"/>
      <c r="H44" s="1" t="s">
        <v>294</v>
      </c>
      <c r="I44" s="1">
        <f>D44*D45+F44*F45</f>
        <v>72.121407802700872</v>
      </c>
      <c r="J44" s="1" t="s">
        <v>301</v>
      </c>
      <c r="K44" s="1">
        <f>ABS(I44)</f>
        <v>72.121407802700872</v>
      </c>
    </row>
    <row r="45" spans="1:26" hidden="1" x14ac:dyDescent="0.2">
      <c r="B45" s="1" t="s">
        <v>1153</v>
      </c>
      <c r="C45" s="1"/>
      <c r="D45" s="1">
        <f>O28*O28-P28*P28-Q28*Q28+R28*R28</f>
        <v>-0.948599030387</v>
      </c>
      <c r="E45" s="1">
        <f>2*O28*P28-2*Q28*R28</f>
        <v>0</v>
      </c>
      <c r="F45" s="1">
        <f>2*O28*Q28+2*P28*R28</f>
        <v>-0.31647902331600003</v>
      </c>
      <c r="G45" s="1"/>
      <c r="H45" s="1" t="s">
        <v>306</v>
      </c>
      <c r="I45" s="1">
        <f>ABS(D44*D46+F44*F46)</f>
        <v>105.4987118671218</v>
      </c>
      <c r="J45" s="1"/>
      <c r="K45" s="1"/>
    </row>
    <row r="46" spans="1:26" hidden="1" x14ac:dyDescent="0.2">
      <c r="B46" s="1" t="s">
        <v>1154</v>
      </c>
      <c r="C46" s="1"/>
      <c r="D46" s="1">
        <f>2*O28*Q28-2*P28*R28</f>
        <v>0.31647902331600003</v>
      </c>
      <c r="E46" s="1">
        <f>2*O28*R28+2*P28*Q28</f>
        <v>0</v>
      </c>
      <c r="F46" s="1">
        <f>-O28*O28-P28*P28+Q28*Q28+R28*R28</f>
        <v>-0.948599030387</v>
      </c>
      <c r="G46" s="1"/>
      <c r="H46" s="1"/>
      <c r="I46" s="1"/>
      <c r="J46" s="1"/>
      <c r="K46" s="1"/>
    </row>
    <row r="47" spans="1:26" hidden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26" hidden="1" x14ac:dyDescent="0.2">
      <c r="B48" s="1" t="s">
        <v>300</v>
      </c>
      <c r="C48" s="1"/>
      <c r="D48" s="1"/>
      <c r="E48" s="1"/>
      <c r="F48" s="1">
        <f>O28+Q37</f>
        <v>0</v>
      </c>
      <c r="G48" s="1">
        <f>P28+R37</f>
        <v>0</v>
      </c>
      <c r="H48" s="1">
        <f>Q28-O37</f>
        <v>0</v>
      </c>
      <c r="I48" s="1">
        <f>R28-P37</f>
        <v>-1.0000000000010001E-6</v>
      </c>
      <c r="J48" s="1" t="s">
        <v>313</v>
      </c>
      <c r="K48" s="1"/>
    </row>
    <row r="49" spans="1:19" x14ac:dyDescent="0.2">
      <c r="B49" s="33" t="s">
        <v>1048</v>
      </c>
      <c r="C49" s="1"/>
      <c r="D49" s="1"/>
      <c r="E49" s="1"/>
      <c r="F49" s="1"/>
      <c r="G49" s="1"/>
      <c r="H49" s="1"/>
      <c r="I49" s="1"/>
      <c r="J49" s="1"/>
      <c r="K49" s="1"/>
      <c r="M49" s="77"/>
      <c r="S49" s="77"/>
    </row>
    <row r="50" spans="1:19" x14ac:dyDescent="0.2">
      <c r="B50" s="41" t="s">
        <v>1049</v>
      </c>
      <c r="F50" s="13" t="str">
        <f>T(IF(ABS(F48)+ABS(G48)+ABS(H48)+ABS(I48)&gt;0.0001,"TRACKS TO BE JOINED ARE NOT PARALLEL! DO NOT PROCEED","ok"))</f>
        <v>ok</v>
      </c>
    </row>
    <row r="51" spans="1:19" x14ac:dyDescent="0.2">
      <c r="B51" s="41" t="s">
        <v>1051</v>
      </c>
      <c r="F51" s="13" t="str">
        <f>T(IF(ABS(M32-M41)&gt;0.001,"TRACKS TO BE JOINED ARE NOT ON SAME LEVEL! MANUAL SLOPE CHANGES MAY BE NEEDED AT END","ok"))</f>
        <v>ok</v>
      </c>
    </row>
    <row r="52" spans="1:19" x14ac:dyDescent="0.2">
      <c r="B52" s="41" t="s">
        <v>1050</v>
      </c>
      <c r="F52" s="13" t="str">
        <f>T(IF(I45&lt;K44,"GAP IS TOO SHORT! DO NOT PROCEED","ok"))</f>
        <v>ok</v>
      </c>
      <c r="M52" s="77"/>
      <c r="S52" s="77"/>
    </row>
    <row r="53" spans="1:19" hidden="1" x14ac:dyDescent="0.2"/>
    <row r="54" spans="1:19" hidden="1" x14ac:dyDescent="0.2">
      <c r="B54" s="1" t="s">
        <v>295</v>
      </c>
      <c r="C54" s="1"/>
      <c r="D54" s="1">
        <f>0.5*(L32+L41)</f>
        <v>6.9501999999999997</v>
      </c>
      <c r="E54" s="1">
        <f>0.5*(M32+M41)</f>
        <v>0.99999900000000008</v>
      </c>
      <c r="F54" s="1">
        <f>0.5*(N32+N41)</f>
        <v>-173.13849999999999</v>
      </c>
      <c r="G54" s="1" t="s">
        <v>459</v>
      </c>
      <c r="H54" s="1" t="str">
        <f>CONCATENATE(TEXT(D54,"0.000")," ",TEXT(E54,"0.000")," ",TEXT(F54,"0.000"))</f>
        <v>6.950 1.000 -173.139</v>
      </c>
    </row>
    <row r="55" spans="1:19" hidden="1" x14ac:dyDescent="0.2">
      <c r="B55" s="1"/>
      <c r="C55" s="1"/>
      <c r="D55" s="1"/>
      <c r="E55" s="1"/>
      <c r="F55" s="1"/>
      <c r="G55" s="1"/>
      <c r="H55" s="1"/>
    </row>
    <row r="56" spans="1:19" hidden="1" x14ac:dyDescent="0.2">
      <c r="B56" s="1" t="s">
        <v>307</v>
      </c>
      <c r="C56" s="1"/>
      <c r="D56" s="1">
        <f>2*ATAN(ABS(I44)/I45)</f>
        <v>1.1993006413286174</v>
      </c>
      <c r="E56" s="1" t="s">
        <v>296</v>
      </c>
      <c r="F56" s="1">
        <f>D56*180/PI()</f>
        <v>68.714865115462686</v>
      </c>
      <c r="G56" s="1" t="s">
        <v>297</v>
      </c>
      <c r="H56" s="1"/>
    </row>
    <row r="57" spans="1:19" hidden="1" x14ac:dyDescent="0.2">
      <c r="B57" s="1" t="s">
        <v>308</v>
      </c>
      <c r="C57" s="1"/>
      <c r="D57" s="1">
        <f>(K44*K44+I45*I45)/(4*K44)</f>
        <v>56.611054077531023</v>
      </c>
      <c r="E57" s="1" t="s">
        <v>576</v>
      </c>
      <c r="F57" s="1"/>
      <c r="G57" s="1"/>
      <c r="H57" s="1"/>
    </row>
    <row r="58" spans="1:19" x14ac:dyDescent="0.2">
      <c r="M58" s="77"/>
      <c r="S58" s="77"/>
    </row>
    <row r="59" spans="1:19" x14ac:dyDescent="0.2">
      <c r="A59" s="82" t="s">
        <v>302</v>
      </c>
      <c r="B59" s="11"/>
      <c r="C59" s="11"/>
      <c r="D59" s="11"/>
      <c r="E59" s="11"/>
    </row>
    <row r="61" spans="1:19" x14ac:dyDescent="0.2">
      <c r="B61" s="82" t="s">
        <v>305</v>
      </c>
      <c r="C61" s="11"/>
      <c r="D61" s="11"/>
      <c r="E61" s="10"/>
      <c r="F61" s="70">
        <v>50</v>
      </c>
      <c r="G61" t="s">
        <v>303</v>
      </c>
      <c r="H61" s="13">
        <f>D57</f>
        <v>56.611054077531023</v>
      </c>
      <c r="I61" s="41" t="s">
        <v>304</v>
      </c>
    </row>
    <row r="62" spans="1:19" x14ac:dyDescent="0.2">
      <c r="M62" s="77"/>
      <c r="S62" s="77"/>
    </row>
    <row r="63" spans="1:19" hidden="1" x14ac:dyDescent="0.2">
      <c r="B63" s="1" t="s">
        <v>293</v>
      </c>
      <c r="C63" s="1"/>
      <c r="D63" s="1">
        <f>SQRT(4*K44*F61-K44*K44)</f>
        <v>96.03532733893654</v>
      </c>
      <c r="E63" s="1"/>
      <c r="F63" s="1"/>
      <c r="G63" s="1"/>
      <c r="H63" s="1"/>
      <c r="I63" s="1"/>
      <c r="J63" s="1"/>
      <c r="K63" s="1"/>
      <c r="L63" s="1"/>
    </row>
    <row r="64" spans="1:19" hidden="1" x14ac:dyDescent="0.2">
      <c r="B64" s="1" t="s">
        <v>309</v>
      </c>
      <c r="C64" s="1"/>
      <c r="D64" s="1">
        <f>2*ATAN(K44/D63)</f>
        <v>1.2882666493784458</v>
      </c>
      <c r="E64" s="1" t="s">
        <v>296</v>
      </c>
      <c r="F64" s="1">
        <f>D64*180/PI()</f>
        <v>73.812241896844768</v>
      </c>
      <c r="G64" s="1" t="s">
        <v>310</v>
      </c>
      <c r="H64" s="1">
        <f>ROUND(D64,3)</f>
        <v>1.288</v>
      </c>
      <c r="I64" s="1" t="s">
        <v>311</v>
      </c>
      <c r="J64" s="1"/>
      <c r="K64" s="1" t="s">
        <v>322</v>
      </c>
      <c r="L64" s="1">
        <f>PI()-D64</f>
        <v>1.8533260042113473</v>
      </c>
    </row>
    <row r="65" spans="1:19" hidden="1" x14ac:dyDescent="0.2">
      <c r="B65" s="1" t="s">
        <v>312</v>
      </c>
      <c r="C65" s="1"/>
      <c r="D65" s="1">
        <f>0.5*(I45-D63)</f>
        <v>4.7316922640926293</v>
      </c>
      <c r="E65" s="1"/>
      <c r="F65" s="1"/>
      <c r="G65" s="1"/>
      <c r="H65" s="1">
        <f>ROUND(D65,2)</f>
        <v>4.7300000000000004</v>
      </c>
      <c r="I65" s="1" t="s">
        <v>314</v>
      </c>
      <c r="J65" s="1"/>
      <c r="K65" s="1"/>
      <c r="L65" s="1"/>
    </row>
    <row r="66" spans="1:19" x14ac:dyDescent="0.2">
      <c r="B66" s="33" t="s">
        <v>1048</v>
      </c>
      <c r="M66" s="77"/>
      <c r="S66" s="77"/>
    </row>
    <row r="67" spans="1:19" x14ac:dyDescent="0.2">
      <c r="B67" s="41" t="s">
        <v>1053</v>
      </c>
      <c r="F67" s="13" t="str">
        <f>T(IF(F61&gt;D57,"RADIUS IS TOO LARGE! USE SMALLER TURN RADIUS","ok"))</f>
        <v>ok</v>
      </c>
    </row>
    <row r="68" spans="1:19" x14ac:dyDescent="0.2">
      <c r="B68" s="41" t="s">
        <v>1052</v>
      </c>
      <c r="F68" s="13" t="str">
        <f>T(IF(D65&gt;200,"RADIUS REQUIRES TOO LONG STRAIGHT SEGMENTS! USE LARGER TURN RADIUS","ok"))</f>
        <v>ok</v>
      </c>
      <c r="M68" s="77"/>
      <c r="S68" s="77"/>
    </row>
    <row r="69" spans="1:19" hidden="1" x14ac:dyDescent="0.2"/>
    <row r="70" spans="1:19" hidden="1" x14ac:dyDescent="0.2">
      <c r="B70" s="1" t="s">
        <v>720</v>
      </c>
      <c r="C70" s="1"/>
      <c r="D70" s="1">
        <v>0</v>
      </c>
      <c r="E70" s="1">
        <f>J71</f>
        <v>0.79962051060893602</v>
      </c>
      <c r="F70" s="1">
        <v>0</v>
      </c>
      <c r="G70" s="1">
        <f>J70</f>
        <v>0.60050565277398049</v>
      </c>
      <c r="H70" s="1"/>
      <c r="I70" s="1" t="s">
        <v>721</v>
      </c>
      <c r="J70" s="1">
        <f>COS(L64/2)</f>
        <v>0.60050565277398049</v>
      </c>
      <c r="K70" s="1"/>
      <c r="L70" s="1"/>
      <c r="M70" s="1"/>
      <c r="N70" s="1"/>
    </row>
    <row r="71" spans="1:19" hidden="1" x14ac:dyDescent="0.2">
      <c r="B71" s="1" t="s">
        <v>723</v>
      </c>
      <c r="C71" s="1"/>
      <c r="D71" s="1">
        <f>O28</f>
        <v>0</v>
      </c>
      <c r="E71" s="1">
        <f>P28</f>
        <v>-0.987066</v>
      </c>
      <c r="F71" s="1">
        <f>Q28</f>
        <v>0</v>
      </c>
      <c r="G71" s="1">
        <f>R28</f>
        <v>0.16031300000000001</v>
      </c>
      <c r="H71" s="1"/>
      <c r="I71" s="1" t="s">
        <v>722</v>
      </c>
      <c r="J71" s="1">
        <f>SIN(L64/2)</f>
        <v>0.79962051060893602</v>
      </c>
      <c r="K71" s="1"/>
      <c r="L71" s="1"/>
      <c r="M71" s="1"/>
      <c r="N71" s="1"/>
    </row>
    <row r="72" spans="1:19" hidden="1" x14ac:dyDescent="0.2">
      <c r="B72" s="1" t="s">
        <v>1107</v>
      </c>
      <c r="C72" s="1"/>
      <c r="D72" s="1">
        <f>D70*G71-E70*F71+F70*E71+G70*D71</f>
        <v>0</v>
      </c>
      <c r="E72" s="1">
        <f>D70*F71+E70*G71-F70*D71+G70*E71</f>
        <v>-0.4645491497437515</v>
      </c>
      <c r="F72" s="1">
        <f>-D70*E71+E70*D71+F70*G71+G70*F71</f>
        <v>0</v>
      </c>
      <c r="G72" s="1">
        <f>-D70*D71-E70*E71-F70*F71+G70*G71</f>
        <v>0.88554708163787521</v>
      </c>
      <c r="H72" s="163" t="s">
        <v>459</v>
      </c>
      <c r="I72" s="37" t="str">
        <f>CONCATENATE(TEXT(D72,"0.000000")," ",TEXT(E72,"0.000000")," ",TEXT(F72,"0.000000")," ",TEXT(G72,"0.000000"))</f>
        <v>0.000000 -0.464549 0.000000 0.885547</v>
      </c>
      <c r="J72" s="1"/>
      <c r="K72" s="1"/>
      <c r="L72" s="1"/>
      <c r="M72" s="20" t="s">
        <v>227</v>
      </c>
      <c r="N72" s="1">
        <f>D72*D72+E72*E72+F72*F72+G72*G72</f>
        <v>0.9999995463250001</v>
      </c>
    </row>
    <row r="73" spans="1:19" hidden="1" x14ac:dyDescent="0.2">
      <c r="B73" s="1" t="s">
        <v>725</v>
      </c>
      <c r="C73" s="1"/>
      <c r="D73" s="1">
        <f>-F72</f>
        <v>0</v>
      </c>
      <c r="E73" s="1">
        <f>-G72</f>
        <v>-0.88554708163787521</v>
      </c>
      <c r="F73" s="1">
        <f>D72</f>
        <v>0</v>
      </c>
      <c r="G73" s="1">
        <f>E72</f>
        <v>-0.4645491497437515</v>
      </c>
      <c r="H73" s="163" t="s">
        <v>459</v>
      </c>
      <c r="I73" s="37" t="str">
        <f>CONCATENATE(TEXT(D73,"0.000000")," ",TEXT(E73,"0.000000")," ",TEXT(F73,"0.000000")," ",TEXT(G73,"0.000000"))</f>
        <v>0.000000 -0.885547 0.000000 -0.464549</v>
      </c>
      <c r="J73" s="1"/>
      <c r="K73" s="1"/>
      <c r="L73" s="1"/>
      <c r="M73" s="20" t="s">
        <v>228</v>
      </c>
      <c r="N73" s="1">
        <f>D73*D73+E73*E73+F73*F73+G73*G73</f>
        <v>0.9999995463250001</v>
      </c>
    </row>
    <row r="74" spans="1:19" s="28" customFormat="1" ht="13.5" thickBot="1" x14ac:dyDescent="0.25">
      <c r="G74" s="30"/>
      <c r="H74" s="30"/>
      <c r="J74" s="30"/>
      <c r="K74" s="30"/>
      <c r="M74" s="165"/>
      <c r="S74" s="165"/>
    </row>
    <row r="75" spans="1:19" s="100" customFormat="1" x14ac:dyDescent="0.2">
      <c r="A75" s="99" t="s">
        <v>13</v>
      </c>
    </row>
    <row r="77" spans="1:19" x14ac:dyDescent="0.2">
      <c r="A77" s="13" t="s">
        <v>1341</v>
      </c>
    </row>
    <row r="78" spans="1:19" x14ac:dyDescent="0.2">
      <c r="B78" t="s">
        <v>1342</v>
      </c>
    </row>
    <row r="80" spans="1:19" x14ac:dyDescent="0.2">
      <c r="B80" s="56" t="str">
        <f>T(IF(I44&gt;0,"RIGHT TURNS ARE NEEDED:  SEE RIGHT COLUMN &gt;&gt;&gt;&gt;&gt;&gt;&gt;","LEFT TURNS NEEDED:  SEE LEFT COLUMN"))</f>
        <v>RIGHT TURNS ARE NEEDED:  SEE RIGHT COLUMN &gt;&gt;&gt;&gt;&gt;&gt;&gt;</v>
      </c>
    </row>
    <row r="82" spans="2:13" x14ac:dyDescent="0.2">
      <c r="B82" s="168" t="s">
        <v>319</v>
      </c>
      <c r="C82" s="168"/>
      <c r="D82" s="168"/>
      <c r="G82" s="166"/>
      <c r="H82" s="22" t="s">
        <v>320</v>
      </c>
      <c r="I82" s="22"/>
      <c r="J82" s="22"/>
    </row>
    <row r="83" spans="2:13" x14ac:dyDescent="0.2">
      <c r="B83" s="105" t="s">
        <v>318</v>
      </c>
      <c r="C83" s="105"/>
      <c r="D83" s="105"/>
      <c r="E83" s="105"/>
      <c r="F83" s="105"/>
      <c r="G83" s="167"/>
      <c r="H83" s="59" t="s">
        <v>321</v>
      </c>
      <c r="I83" s="59"/>
      <c r="J83" s="59"/>
      <c r="K83" s="59"/>
      <c r="L83" s="59"/>
      <c r="M83" s="59"/>
    </row>
    <row r="84" spans="2:13" x14ac:dyDescent="0.2">
      <c r="B84" s="105"/>
      <c r="C84" s="105" t="s">
        <v>316</v>
      </c>
      <c r="D84" s="105"/>
      <c r="E84" s="105"/>
      <c r="F84" s="74">
        <f>H65</f>
        <v>4.7300000000000004</v>
      </c>
      <c r="G84" s="167" t="s">
        <v>576</v>
      </c>
      <c r="H84" s="59"/>
      <c r="I84" s="59" t="s">
        <v>323</v>
      </c>
      <c r="J84" s="59"/>
      <c r="K84" s="59"/>
      <c r="L84" s="59"/>
      <c r="M84" s="74" t="str">
        <f>H54</f>
        <v>6.950 1.000 -173.139</v>
      </c>
    </row>
    <row r="85" spans="2:13" x14ac:dyDescent="0.2">
      <c r="B85" s="105"/>
      <c r="C85" s="105" t="s">
        <v>315</v>
      </c>
      <c r="D85" s="105"/>
      <c r="E85" s="105"/>
      <c r="F85" s="74">
        <f>ROUND(F61,2)</f>
        <v>50</v>
      </c>
      <c r="G85" s="167" t="s">
        <v>576</v>
      </c>
      <c r="H85" s="59"/>
      <c r="I85" s="59" t="s">
        <v>324</v>
      </c>
      <c r="J85" s="59"/>
      <c r="K85" s="59"/>
      <c r="L85" s="59"/>
      <c r="M85" s="74" t="str">
        <f>I72</f>
        <v>0.000000 -0.464549 0.000000 0.885547</v>
      </c>
    </row>
    <row r="86" spans="2:13" x14ac:dyDescent="0.2">
      <c r="B86" s="105"/>
      <c r="C86" s="105" t="s">
        <v>317</v>
      </c>
      <c r="D86" s="105"/>
      <c r="E86" s="105"/>
      <c r="F86" s="74">
        <f>-H64</f>
        <v>-1.288</v>
      </c>
      <c r="G86" s="167" t="s">
        <v>61</v>
      </c>
      <c r="H86" s="59"/>
      <c r="I86" s="59"/>
      <c r="J86" s="59"/>
      <c r="K86" s="59"/>
      <c r="L86" s="59"/>
      <c r="M86" s="59"/>
    </row>
    <row r="87" spans="2:13" x14ac:dyDescent="0.2">
      <c r="G87" s="166"/>
      <c r="H87" s="59"/>
      <c r="I87" s="59" t="s">
        <v>325</v>
      </c>
      <c r="J87" s="59"/>
      <c r="K87" s="59"/>
      <c r="L87" s="59"/>
      <c r="M87" s="74" t="str">
        <f>H54</f>
        <v>6.950 1.000 -173.139</v>
      </c>
    </row>
    <row r="88" spans="2:13" x14ac:dyDescent="0.2">
      <c r="G88" s="166"/>
      <c r="H88" s="59"/>
      <c r="I88" s="59" t="s">
        <v>326</v>
      </c>
      <c r="J88" s="59"/>
      <c r="K88" s="59"/>
      <c r="L88" s="59"/>
      <c r="M88" s="74" t="str">
        <f>I73</f>
        <v>0.000000 -0.885547 0.000000 -0.464549</v>
      </c>
    </row>
    <row r="89" spans="2:13" s="45" customFormat="1" x14ac:dyDescent="0.2">
      <c r="B89"/>
      <c r="C89"/>
      <c r="G89" s="166"/>
      <c r="H89" s="61"/>
      <c r="I89" s="61"/>
      <c r="J89" s="61"/>
      <c r="K89" s="61"/>
      <c r="L89" s="61"/>
      <c r="M89" s="61"/>
    </row>
    <row r="90" spans="2:13" s="45" customFormat="1" x14ac:dyDescent="0.2">
      <c r="B90"/>
      <c r="C90"/>
      <c r="G90" s="166"/>
      <c r="H90" s="59" t="s">
        <v>331</v>
      </c>
      <c r="I90" s="59"/>
      <c r="J90" s="59"/>
      <c r="K90" s="59"/>
      <c r="L90" s="59"/>
      <c r="M90" s="59"/>
    </row>
    <row r="91" spans="2:13" s="45" customFormat="1" x14ac:dyDescent="0.2">
      <c r="B91"/>
      <c r="C91"/>
      <c r="G91" s="166"/>
      <c r="H91" s="59" t="s">
        <v>327</v>
      </c>
      <c r="I91" s="59"/>
      <c r="J91" s="59"/>
      <c r="K91" s="59"/>
      <c r="L91" s="59"/>
      <c r="M91" s="59"/>
    </row>
    <row r="92" spans="2:13" s="45" customFormat="1" x14ac:dyDescent="0.2">
      <c r="B92"/>
      <c r="C92"/>
      <c r="G92" s="166"/>
      <c r="H92" s="59"/>
      <c r="I92" s="59" t="s">
        <v>315</v>
      </c>
      <c r="J92" s="59"/>
      <c r="K92" s="59"/>
      <c r="L92" s="74">
        <f>ROUND(F61,2)</f>
        <v>50</v>
      </c>
      <c r="M92" s="59" t="s">
        <v>576</v>
      </c>
    </row>
    <row r="93" spans="2:13" s="45" customFormat="1" x14ac:dyDescent="0.2">
      <c r="B93"/>
      <c r="C93"/>
      <c r="G93" s="166"/>
      <c r="H93" s="59"/>
      <c r="I93" s="59" t="s">
        <v>317</v>
      </c>
      <c r="J93" s="59"/>
      <c r="K93" s="59"/>
      <c r="L93" s="74">
        <f>-H64</f>
        <v>-1.288</v>
      </c>
      <c r="M93" s="59" t="s">
        <v>61</v>
      </c>
    </row>
    <row r="94" spans="2:13" s="45" customFormat="1" x14ac:dyDescent="0.2">
      <c r="B94"/>
      <c r="C94"/>
      <c r="G94" s="166"/>
      <c r="H94" s="61"/>
      <c r="I94" s="61" t="s">
        <v>134</v>
      </c>
      <c r="J94" s="61"/>
      <c r="K94" s="61"/>
      <c r="L94" s="183">
        <f>H65</f>
        <v>4.7300000000000004</v>
      </c>
      <c r="M94" s="61" t="s">
        <v>576</v>
      </c>
    </row>
    <row r="95" spans="2:13" s="45" customFormat="1" x14ac:dyDescent="0.2">
      <c r="B95"/>
      <c r="C95"/>
      <c r="G95" s="166"/>
      <c r="H95" s="59"/>
      <c r="I95" s="59" t="s">
        <v>135</v>
      </c>
      <c r="J95" s="59"/>
      <c r="K95" s="59"/>
      <c r="L95" s="74">
        <v>0</v>
      </c>
      <c r="M95" s="59" t="s">
        <v>1054</v>
      </c>
    </row>
    <row r="96" spans="2:13" s="45" customFormat="1" x14ac:dyDescent="0.2">
      <c r="B96"/>
      <c r="C96"/>
    </row>
    <row r="97" spans="1:11" s="45" customFormat="1" x14ac:dyDescent="0.2">
      <c r="A97" s="169" t="s">
        <v>1055</v>
      </c>
      <c r="B97"/>
      <c r="C97"/>
    </row>
    <row r="98" spans="1:11" s="45" customFormat="1" x14ac:dyDescent="0.2">
      <c r="B98"/>
      <c r="C98"/>
    </row>
    <row r="99" spans="1:11" s="45" customFormat="1" x14ac:dyDescent="0.2">
      <c r="A99" s="169" t="s">
        <v>330</v>
      </c>
      <c r="B99"/>
      <c r="C99"/>
    </row>
    <row r="100" spans="1:11" s="45" customFormat="1" x14ac:dyDescent="0.2">
      <c r="B100" t="s">
        <v>1056</v>
      </c>
      <c r="C100"/>
    </row>
    <row r="101" spans="1:11" s="45" customFormat="1" x14ac:dyDescent="0.2">
      <c r="B101"/>
      <c r="C101"/>
    </row>
    <row r="102" spans="1:11" s="45" customFormat="1" x14ac:dyDescent="0.2">
      <c r="B102" s="168" t="s">
        <v>504</v>
      </c>
      <c r="C102" s="168"/>
      <c r="D102" s="168"/>
      <c r="E102" s="168"/>
      <c r="G102" s="166"/>
      <c r="H102" s="22" t="s">
        <v>505</v>
      </c>
      <c r="I102" s="22"/>
      <c r="J102" s="22"/>
      <c r="K102" s="22"/>
    </row>
    <row r="103" spans="1:11" s="45" customFormat="1" x14ac:dyDescent="0.2">
      <c r="B103" s="105" t="s">
        <v>506</v>
      </c>
      <c r="C103" s="74">
        <f>180/PI()*ATAN(ABS(M41-M32)/I45)</f>
        <v>1.0861891770529818E-6</v>
      </c>
      <c r="D103" s="105" t="s">
        <v>297</v>
      </c>
      <c r="E103" s="105"/>
      <c r="G103" s="166"/>
      <c r="H103" s="59" t="s">
        <v>506</v>
      </c>
      <c r="I103" s="74">
        <f>180/PI()*ATAN(ABS(M41-M32)/(SQRT(I45*I45+I44*I44)*COS(0.5*D56)))</f>
        <v>1.0861891770529818E-6</v>
      </c>
      <c r="J103" s="59" t="s">
        <v>297</v>
      </c>
      <c r="K103" s="59"/>
    </row>
    <row r="104" spans="1:11" s="45" customFormat="1" x14ac:dyDescent="0.2"/>
    <row r="105" spans="1:11" s="45" customFormat="1" x14ac:dyDescent="0.2">
      <c r="B105" s="170" t="s">
        <v>666</v>
      </c>
    </row>
    <row r="106" spans="1:11" s="45" customFormat="1" x14ac:dyDescent="0.2">
      <c r="B106" s="45" t="s">
        <v>667</v>
      </c>
    </row>
    <row r="107" spans="1:11" s="28" customFormat="1" ht="13.5" thickBot="1" x14ac:dyDescent="0.25"/>
    <row r="108" spans="1:11" s="45" customFormat="1" x14ac:dyDescent="0.2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workbookViewId="0">
      <selection activeCell="A2" sqref="A2"/>
    </sheetView>
  </sheetViews>
  <sheetFormatPr defaultRowHeight="12.75" x14ac:dyDescent="0.2"/>
  <cols>
    <col min="3" max="3" width="13.140625" bestFit="1" customWidth="1"/>
    <col min="14" max="18" width="0" hidden="1" customWidth="1"/>
  </cols>
  <sheetData>
    <row r="1" spans="1:9" s="5" customFormat="1" x14ac:dyDescent="0.2">
      <c r="A1" s="14" t="s">
        <v>671</v>
      </c>
      <c r="B1" s="14"/>
      <c r="C1" s="14"/>
      <c r="D1" s="14"/>
      <c r="E1" s="14"/>
      <c r="F1" s="14"/>
    </row>
    <row r="3" spans="1:9" x14ac:dyDescent="0.2">
      <c r="A3" s="33" t="s">
        <v>1274</v>
      </c>
    </row>
    <row r="4" spans="1:9" x14ac:dyDescent="0.2">
      <c r="B4" t="s">
        <v>1272</v>
      </c>
    </row>
    <row r="5" spans="1:9" x14ac:dyDescent="0.2">
      <c r="B5" t="s">
        <v>672</v>
      </c>
    </row>
    <row r="6" spans="1:9" x14ac:dyDescent="0.2">
      <c r="B6" t="s">
        <v>674</v>
      </c>
    </row>
    <row r="7" spans="1:9" x14ac:dyDescent="0.2">
      <c r="B7" s="41" t="s">
        <v>673</v>
      </c>
    </row>
    <row r="9" spans="1:9" x14ac:dyDescent="0.2">
      <c r="A9" s="41" t="s">
        <v>1042</v>
      </c>
    </row>
    <row r="10" spans="1:9" x14ac:dyDescent="0.2">
      <c r="B10" t="s">
        <v>1057</v>
      </c>
    </row>
    <row r="12" spans="1:9" x14ac:dyDescent="0.2">
      <c r="A12" t="s">
        <v>1273</v>
      </c>
    </row>
    <row r="13" spans="1:9" s="28" customFormat="1" ht="13.5" thickBot="1" x14ac:dyDescent="0.25"/>
    <row r="14" spans="1:9" s="27" customFormat="1" x14ac:dyDescent="0.2">
      <c r="A14" s="8" t="s">
        <v>544</v>
      </c>
      <c r="B14" s="8"/>
      <c r="C14" s="8"/>
      <c r="D14" s="8"/>
      <c r="E14" s="8"/>
      <c r="F14" s="8"/>
    </row>
    <row r="16" spans="1:9" x14ac:dyDescent="0.2">
      <c r="A16" s="82" t="s">
        <v>1045</v>
      </c>
      <c r="B16" s="82"/>
      <c r="C16" s="82"/>
      <c r="D16" s="82"/>
      <c r="E16" s="82"/>
      <c r="F16" s="82"/>
      <c r="G16" s="82"/>
      <c r="H16" s="82"/>
      <c r="I16" s="82"/>
    </row>
    <row r="18" spans="1:26" x14ac:dyDescent="0.2">
      <c r="B18" s="13" t="s">
        <v>675</v>
      </c>
    </row>
    <row r="19" spans="1:26" x14ac:dyDescent="0.2">
      <c r="B19" t="s">
        <v>287</v>
      </c>
    </row>
    <row r="21" spans="1:26" x14ac:dyDescent="0.2">
      <c r="A21" s="82" t="s">
        <v>1046</v>
      </c>
      <c r="B21" s="82"/>
      <c r="C21" s="82"/>
      <c r="D21" s="82"/>
      <c r="E21" s="82"/>
      <c r="F21" s="82"/>
      <c r="G21" s="82"/>
      <c r="H21" s="82"/>
      <c r="I21" s="82"/>
    </row>
    <row r="23" spans="1:26" x14ac:dyDescent="0.2">
      <c r="B23" t="s">
        <v>287</v>
      </c>
    </row>
    <row r="25" spans="1:26" x14ac:dyDescent="0.2">
      <c r="A25" s="82" t="s">
        <v>288</v>
      </c>
      <c r="B25" s="82"/>
    </row>
    <row r="27" spans="1:26" x14ac:dyDescent="0.2">
      <c r="A27" s="82" t="s">
        <v>1275</v>
      </c>
      <c r="B27" s="11"/>
      <c r="C27" s="11"/>
      <c r="D27" s="11"/>
      <c r="E27" s="11"/>
      <c r="F27" s="11"/>
      <c r="G27" s="11"/>
      <c r="H27" s="11"/>
    </row>
    <row r="28" spans="1:26" x14ac:dyDescent="0.2">
      <c r="O28" s="19" t="s">
        <v>937</v>
      </c>
      <c r="P28" s="19" t="s">
        <v>938</v>
      </c>
      <c r="Q28" s="19" t="s">
        <v>939</v>
      </c>
      <c r="R28" s="19" t="s">
        <v>940</v>
      </c>
      <c r="S28" s="1"/>
      <c r="T28" s="1"/>
      <c r="U28" s="1"/>
      <c r="V28" s="34"/>
      <c r="W28" s="1"/>
      <c r="X28" s="34"/>
      <c r="Y28" s="34"/>
      <c r="Z28" s="1"/>
    </row>
    <row r="29" spans="1:26" x14ac:dyDescent="0.2">
      <c r="B29" s="82" t="s">
        <v>342</v>
      </c>
      <c r="C29" s="11"/>
      <c r="D29" s="11"/>
      <c r="E29" s="11"/>
      <c r="F29" s="11"/>
      <c r="G29" s="11"/>
      <c r="H29" s="11"/>
      <c r="I29" s="67" t="s">
        <v>1265</v>
      </c>
      <c r="N29" s="1" t="s">
        <v>936</v>
      </c>
      <c r="O29" s="19">
        <f>VALUE(MID(I29,1,O30-1))</f>
        <v>0</v>
      </c>
      <c r="P29" s="19">
        <f>VALUE(MID(I29,O30+1,P30-O30-1))</f>
        <v>0.135715</v>
      </c>
      <c r="Q29" s="19">
        <f>VALUE(MID(I29,P30+1,Q30-P30-1))</f>
        <v>0</v>
      </c>
      <c r="R29" s="19">
        <f>VALUE(MID(I29,Q30+1,R30-Q30))</f>
        <v>0.99074799999999996</v>
      </c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42"/>
      <c r="B30" t="s">
        <v>175</v>
      </c>
      <c r="I30" s="2"/>
      <c r="O30" s="1">
        <f>SEARCH(" ",I29,1)</f>
        <v>2</v>
      </c>
      <c r="P30" s="1">
        <f>SEARCH(" ",I29,O30+1)</f>
        <v>11</v>
      </c>
      <c r="Q30" s="1">
        <f>SEARCH(" ",I29,P30+1)</f>
        <v>13</v>
      </c>
      <c r="R30" s="1">
        <f>LEN(I29)</f>
        <v>21</v>
      </c>
      <c r="S30" s="19"/>
      <c r="T30" s="2"/>
      <c r="U30" s="2"/>
      <c r="V30" s="2"/>
      <c r="W30" s="2"/>
      <c r="X30" s="2"/>
      <c r="Y30" s="2"/>
      <c r="Z30" s="2"/>
    </row>
    <row r="32" spans="1:26" x14ac:dyDescent="0.2">
      <c r="G32" t="s">
        <v>698</v>
      </c>
    </row>
    <row r="33" spans="1:26" x14ac:dyDescent="0.2">
      <c r="B33" s="82" t="s">
        <v>702</v>
      </c>
      <c r="C33" s="11"/>
      <c r="D33" s="11"/>
      <c r="E33" s="11"/>
      <c r="F33" s="11"/>
      <c r="G33" s="11"/>
      <c r="H33" s="11"/>
      <c r="I33" s="67" t="s">
        <v>1264</v>
      </c>
      <c r="L33" s="19">
        <f>VALUE(MID(I33,1,L34-1))</f>
        <v>-265.01100000000002</v>
      </c>
      <c r="M33" s="19">
        <f>VALUE(MID(I33,L34+1,M34-L34-1))</f>
        <v>1.00098</v>
      </c>
      <c r="N33" s="19">
        <f>VALUE(MID(I33,M34+1,N34-M34))</f>
        <v>-208.005</v>
      </c>
      <c r="O33" s="76" t="s">
        <v>291</v>
      </c>
    </row>
    <row r="34" spans="1:26" x14ac:dyDescent="0.2">
      <c r="B34" t="s">
        <v>175</v>
      </c>
      <c r="I34" s="2"/>
      <c r="L34" s="1">
        <f>SEARCH(" ",I33,1)</f>
        <v>9</v>
      </c>
      <c r="M34" s="1">
        <f>SEARCH(" ",I33,L34+1)</f>
        <v>17</v>
      </c>
      <c r="N34" s="1">
        <f>LEN(I33)</f>
        <v>25</v>
      </c>
    </row>
    <row r="35" spans="1:26" x14ac:dyDescent="0.2">
      <c r="I35" s="19"/>
      <c r="J35" s="19"/>
      <c r="K35" s="19"/>
      <c r="N35" s="19"/>
    </row>
    <row r="36" spans="1:26" x14ac:dyDescent="0.2">
      <c r="A36" s="82" t="s">
        <v>1276</v>
      </c>
      <c r="B36" s="11"/>
      <c r="C36" s="11"/>
      <c r="D36" s="11"/>
      <c r="E36" s="11"/>
    </row>
    <row r="38" spans="1:26" x14ac:dyDescent="0.2">
      <c r="B38" s="82" t="s">
        <v>342</v>
      </c>
      <c r="C38" s="11"/>
      <c r="D38" s="11"/>
      <c r="E38" s="11"/>
      <c r="F38" s="11"/>
      <c r="G38" s="11"/>
      <c r="H38" s="11"/>
      <c r="I38" s="67" t="s">
        <v>1267</v>
      </c>
      <c r="N38" s="1" t="s">
        <v>936</v>
      </c>
      <c r="O38" s="19">
        <f>VALUE(MID(I38,1,O39-1))</f>
        <v>0</v>
      </c>
      <c r="P38" s="19">
        <f>VALUE(MID(I38,O39+1,P39-O39-1))</f>
        <v>-0.663273</v>
      </c>
      <c r="Q38" s="19">
        <f>VALUE(MID(I38,P39+1,Q39-P39-1))</f>
        <v>0</v>
      </c>
      <c r="R38" s="19">
        <f>VALUE(MID(I38,Q39+1,R39-Q39))</f>
        <v>0.74837799999999999</v>
      </c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42"/>
      <c r="B39" t="s">
        <v>175</v>
      </c>
      <c r="I39" s="2"/>
      <c r="O39" s="1">
        <f>SEARCH(" ",I38,1)</f>
        <v>2</v>
      </c>
      <c r="P39" s="1">
        <f>SEARCH(" ",I38,O39+1)</f>
        <v>12</v>
      </c>
      <c r="Q39" s="1">
        <f>SEARCH(" ",I38,P39+1)</f>
        <v>14</v>
      </c>
      <c r="R39" s="1">
        <f>LEN(I38)</f>
        <v>22</v>
      </c>
      <c r="S39" s="19"/>
      <c r="T39" s="2"/>
      <c r="U39" s="2"/>
      <c r="V39" s="2"/>
      <c r="W39" s="2"/>
      <c r="X39" s="2"/>
      <c r="Y39" s="2"/>
      <c r="Z39" s="2"/>
    </row>
    <row r="41" spans="1:26" x14ac:dyDescent="0.2">
      <c r="G41" t="s">
        <v>698</v>
      </c>
    </row>
    <row r="42" spans="1:26" x14ac:dyDescent="0.2">
      <c r="B42" s="82" t="s">
        <v>702</v>
      </c>
      <c r="C42" s="11"/>
      <c r="D42" s="11"/>
      <c r="E42" s="11"/>
      <c r="F42" s="11"/>
      <c r="G42" s="11"/>
      <c r="H42" s="11"/>
      <c r="I42" s="67" t="s">
        <v>1266</v>
      </c>
      <c r="L42" s="19">
        <f>VALUE(MID(I42,1,L43-1))</f>
        <v>-349.24900000000002</v>
      </c>
      <c r="M42" s="19">
        <f>VALUE(MID(I42,L43+1,M43-L43-1))</f>
        <v>1.00098</v>
      </c>
      <c r="N42" s="19">
        <f>VALUE(MID(I42,M43+1,N43-M43))</f>
        <v>-114.041</v>
      </c>
      <c r="O42" s="76" t="s">
        <v>292</v>
      </c>
    </row>
    <row r="43" spans="1:26" x14ac:dyDescent="0.2">
      <c r="B43" t="s">
        <v>175</v>
      </c>
      <c r="I43" s="2"/>
      <c r="L43" s="1">
        <f>SEARCH(" ",I42,1)</f>
        <v>9</v>
      </c>
      <c r="M43" s="1">
        <f>SEARCH(" ",I42,L43+1)</f>
        <v>17</v>
      </c>
      <c r="N43" s="1">
        <f>LEN(I42)</f>
        <v>25</v>
      </c>
    </row>
    <row r="44" spans="1:26" x14ac:dyDescent="0.2">
      <c r="M44" s="77"/>
      <c r="S44" s="77"/>
    </row>
    <row r="45" spans="1:26" hidden="1" x14ac:dyDescent="0.2">
      <c r="B45" s="1" t="s">
        <v>290</v>
      </c>
      <c r="C45" s="1"/>
      <c r="D45" s="1">
        <f>L42-L33</f>
        <v>-84.238</v>
      </c>
      <c r="E45" s="1">
        <f>M42-M33</f>
        <v>0</v>
      </c>
      <c r="F45" s="1">
        <f>N42-N33</f>
        <v>93.963999999999999</v>
      </c>
      <c r="G45" s="1"/>
      <c r="H45" s="1"/>
      <c r="I45" s="1"/>
      <c r="J45" s="1"/>
      <c r="K45" s="1"/>
    </row>
    <row r="46" spans="1:26" hidden="1" x14ac:dyDescent="0.2">
      <c r="B46" s="1" t="s">
        <v>1243</v>
      </c>
      <c r="C46" s="1"/>
      <c r="D46" s="1">
        <f>O29*O29-P29*P29-Q29*Q29+R29*R29</f>
        <v>0.96316303827899996</v>
      </c>
      <c r="E46" s="1">
        <f>2*O29*P29-2*Q29*R29</f>
        <v>0</v>
      </c>
      <c r="F46" s="1">
        <f>2*O29*Q29+2*P29*R29</f>
        <v>0.26891872964000002</v>
      </c>
      <c r="G46" s="1"/>
      <c r="H46" s="1"/>
      <c r="I46" s="1"/>
      <c r="J46" s="1"/>
      <c r="K46" s="1"/>
    </row>
    <row r="47" spans="1:26" hidden="1" x14ac:dyDescent="0.2">
      <c r="B47" s="1" t="s">
        <v>1244</v>
      </c>
      <c r="C47" s="1"/>
      <c r="D47" s="1">
        <f>2*O29*Q29-2*P29*R29</f>
        <v>-0.26891872964000002</v>
      </c>
      <c r="E47" s="1">
        <f>2*O29*R29+2*P29*Q29</f>
        <v>0</v>
      </c>
      <c r="F47" s="1">
        <f>-O29*O29-P29*P29+Q29*Q29+R29*R29</f>
        <v>0.96316303827899996</v>
      </c>
      <c r="G47" s="1"/>
      <c r="H47" s="1"/>
      <c r="I47" s="1"/>
      <c r="J47" s="1"/>
      <c r="K47" s="1"/>
    </row>
    <row r="48" spans="1:26" hidden="1" x14ac:dyDescent="0.2">
      <c r="B48" s="1" t="s">
        <v>1245</v>
      </c>
      <c r="D48" s="1">
        <f>O38*O38-P38*P38-Q38*Q38+R38*R38</f>
        <v>0.12013855835499998</v>
      </c>
      <c r="E48" s="1">
        <f>2*O38*P38-2*Q38*R38</f>
        <v>0</v>
      </c>
      <c r="F48" s="1">
        <f>2*O38*Q38+2*P38*R38</f>
        <v>-0.99275784238800002</v>
      </c>
    </row>
    <row r="49" spans="1:19" hidden="1" x14ac:dyDescent="0.2">
      <c r="B49" s="1" t="s">
        <v>1246</v>
      </c>
      <c r="D49" s="1">
        <f>2*O38*Q38-2*P38*R38</f>
        <v>0.99275784238800002</v>
      </c>
      <c r="E49" s="1">
        <f>2*O38*R38+2*P38*Q38</f>
        <v>0</v>
      </c>
      <c r="F49" s="1">
        <f>-O38*O38-P38*P38+Q38*Q38+R38*R38</f>
        <v>0.12013855835499998</v>
      </c>
    </row>
    <row r="50" spans="1:19" hidden="1" x14ac:dyDescent="0.2">
      <c r="B50" s="1" t="s">
        <v>1268</v>
      </c>
      <c r="D50" s="1">
        <f>ABS(D47*D49+F47*F49)</f>
        <v>0.15125815893546762</v>
      </c>
      <c r="E50" s="1" t="s">
        <v>1269</v>
      </c>
      <c r="F50" s="1">
        <f>SQRT(D50*D50/(1-D50*D50))</f>
        <v>0.15301874765186738</v>
      </c>
      <c r="G50" s="1"/>
      <c r="H50" s="1" t="s">
        <v>1251</v>
      </c>
      <c r="I50" s="1">
        <f>D51-F50*D52</f>
        <v>104.60724429376616</v>
      </c>
      <c r="J50" s="1"/>
      <c r="K50" s="1"/>
      <c r="L50" s="1"/>
      <c r="M50" s="1"/>
    </row>
    <row r="51" spans="1:19" hidden="1" x14ac:dyDescent="0.2">
      <c r="B51" s="1" t="s">
        <v>1247</v>
      </c>
      <c r="D51" s="1">
        <f>ABS(D47*D45+F47*F45)</f>
        <v>113.15582767626228</v>
      </c>
      <c r="E51" s="1"/>
      <c r="F51" s="1"/>
      <c r="G51" s="1"/>
      <c r="H51" s="1" t="s">
        <v>1252</v>
      </c>
      <c r="I51" s="1">
        <f>D53-F50*D54</f>
        <v>56.516526396212669</v>
      </c>
      <c r="J51" s="1"/>
      <c r="K51" s="1"/>
      <c r="L51" s="1"/>
      <c r="M51" s="1"/>
    </row>
    <row r="52" spans="1:19" hidden="1" x14ac:dyDescent="0.2">
      <c r="B52" s="1" t="s">
        <v>1248</v>
      </c>
      <c r="D52" s="1">
        <f>ABS(D46*D45+F46*F45)</f>
        <v>55.866248506653442</v>
      </c>
      <c r="E52" s="1"/>
      <c r="F52" s="1"/>
      <c r="G52" s="1"/>
      <c r="H52" s="1" t="s">
        <v>1257</v>
      </c>
      <c r="I52" s="1">
        <f>MIN(I50,I51)</f>
        <v>56.516526396212669</v>
      </c>
      <c r="J52" s="1"/>
      <c r="K52" s="1"/>
      <c r="L52" s="1"/>
      <c r="M52" s="1"/>
    </row>
    <row r="53" spans="1:19" hidden="1" x14ac:dyDescent="0.2">
      <c r="B53" s="1" t="s">
        <v>1249</v>
      </c>
      <c r="D53" s="1">
        <f>ABS(D49*D45+F49*F45)</f>
        <v>72.339235629811128</v>
      </c>
      <c r="E53" s="1"/>
      <c r="F53" s="1"/>
      <c r="G53" s="1"/>
      <c r="H53" s="1" t="s">
        <v>1253</v>
      </c>
      <c r="I53" s="1">
        <f>PI()-ACOS(D47*D49+F47*F49)</f>
        <v>1.4189553741603751</v>
      </c>
      <c r="J53" s="1" t="s">
        <v>296</v>
      </c>
      <c r="K53" s="1">
        <f>ROUND(I53,3)</f>
        <v>1.419</v>
      </c>
      <c r="L53" s="1" t="s">
        <v>1254</v>
      </c>
      <c r="M53" s="1">
        <f>I53*180/PI()</f>
        <v>81.300154256796077</v>
      </c>
      <c r="N53" s="1" t="s">
        <v>297</v>
      </c>
    </row>
    <row r="54" spans="1:19" hidden="1" x14ac:dyDescent="0.2">
      <c r="B54" s="1" t="s">
        <v>1250</v>
      </c>
      <c r="D54" s="1">
        <f>ABS(D48*D45+F48*F45)</f>
        <v>103.40372978085452</v>
      </c>
      <c r="E54" s="1"/>
      <c r="F54" s="1"/>
      <c r="G54" s="1"/>
      <c r="H54" s="1" t="s">
        <v>1256</v>
      </c>
      <c r="I54" s="1">
        <f>I52/TAN(K53/2)</f>
        <v>65.819474340764046</v>
      </c>
      <c r="J54" s="1"/>
      <c r="K54" s="1"/>
      <c r="L54" s="1"/>
      <c r="M54" s="1"/>
    </row>
    <row r="55" spans="1:19" hidden="1" x14ac:dyDescent="0.2"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9" hidden="1" x14ac:dyDescent="0.2">
      <c r="B56" s="1" t="s">
        <v>300</v>
      </c>
      <c r="D56" s="1"/>
      <c r="E56" s="1"/>
      <c r="F56" s="1">
        <f>O29-O38</f>
        <v>0</v>
      </c>
      <c r="G56" s="1">
        <f>P29-P38</f>
        <v>0.79898800000000003</v>
      </c>
      <c r="H56" s="1">
        <f>Q29-Q38</f>
        <v>0</v>
      </c>
      <c r="I56" s="1">
        <f>R29-R38</f>
        <v>0.24236999999999997</v>
      </c>
      <c r="J56" s="1" t="s">
        <v>313</v>
      </c>
      <c r="K56" s="1"/>
      <c r="L56" s="1" t="s">
        <v>1255</v>
      </c>
      <c r="M56" s="1">
        <f>F56*F56+G56*G56+H56*H56+I56*I56</f>
        <v>0.69712504104399997</v>
      </c>
    </row>
    <row r="57" spans="1:19" hidden="1" x14ac:dyDescent="0.2">
      <c r="B57" s="1" t="s">
        <v>300</v>
      </c>
      <c r="C57" s="1"/>
      <c r="D57" s="1"/>
      <c r="E57" s="1"/>
      <c r="F57" s="1">
        <f>O29+Q38</f>
        <v>0</v>
      </c>
      <c r="G57" s="1">
        <f>P29+R38</f>
        <v>0.88409300000000002</v>
      </c>
      <c r="H57" s="1">
        <f>Q29-O38</f>
        <v>0</v>
      </c>
      <c r="I57" s="1">
        <f>R29-P38</f>
        <v>1.654021</v>
      </c>
      <c r="J57" s="1" t="s">
        <v>313</v>
      </c>
      <c r="K57" s="1"/>
      <c r="L57" s="1" t="s">
        <v>1255</v>
      </c>
      <c r="M57" s="1">
        <f>F57*F57+G57*G57+H57*H57+I57*I57</f>
        <v>3.5174059010899996</v>
      </c>
    </row>
    <row r="58" spans="1:19" x14ac:dyDescent="0.2">
      <c r="B58" s="33" t="s">
        <v>1048</v>
      </c>
      <c r="C58" s="1"/>
      <c r="D58" s="1"/>
      <c r="E58" s="1"/>
      <c r="F58" s="1"/>
      <c r="G58" s="1"/>
      <c r="H58" s="1"/>
      <c r="I58" s="1"/>
      <c r="J58" s="1"/>
      <c r="K58" s="1"/>
      <c r="M58" s="77"/>
      <c r="S58" s="77"/>
    </row>
    <row r="59" spans="1:19" x14ac:dyDescent="0.2">
      <c r="B59" s="41" t="s">
        <v>1049</v>
      </c>
      <c r="F59" s="13" t="str">
        <f>T(IF(OR(M56&lt;0.0001,M57&lt;0.0001),"TRACKS TO BE JOINED ARE PARALLEL! DO NOT PROCEED","ok"))</f>
        <v>ok</v>
      </c>
    </row>
    <row r="60" spans="1:19" x14ac:dyDescent="0.2">
      <c r="B60" s="41" t="s">
        <v>1051</v>
      </c>
      <c r="F60" s="13" t="str">
        <f>T(IF(ABS(M33-M42)&gt;0.001,"TRACKS TO BE JOINED ARE NOT ON SAME LEVEL! MANUAL SLOPE CHANGES MAY BE NEEDED AT END","ok"))</f>
        <v>ok</v>
      </c>
    </row>
    <row r="61" spans="1:19" x14ac:dyDescent="0.2">
      <c r="B61" s="41" t="s">
        <v>1270</v>
      </c>
      <c r="F61" s="13" t="str">
        <f>T(IF(I50&lt;0.001,"FIRST TRACK END TOO CLOSE TO TURN","ok"))</f>
        <v>ok</v>
      </c>
    </row>
    <row r="62" spans="1:19" x14ac:dyDescent="0.2">
      <c r="B62" s="41" t="s">
        <v>1271</v>
      </c>
      <c r="F62" s="13" t="str">
        <f>T(IF(I51&lt;0.001,"SECOND TRACK END TOO CLOSE TO TURN","ok"))</f>
        <v>ok</v>
      </c>
    </row>
    <row r="64" spans="1:19" x14ac:dyDescent="0.2">
      <c r="A64" s="82" t="s">
        <v>302</v>
      </c>
      <c r="B64" s="11"/>
      <c r="C64" s="11"/>
      <c r="D64" s="11"/>
      <c r="E64" s="11"/>
    </row>
    <row r="66" spans="1:19" x14ac:dyDescent="0.2">
      <c r="B66" s="82" t="s">
        <v>305</v>
      </c>
      <c r="C66" s="11"/>
      <c r="D66" s="11"/>
      <c r="E66" s="10"/>
      <c r="F66" s="70">
        <v>50</v>
      </c>
      <c r="G66" t="s">
        <v>303</v>
      </c>
      <c r="H66" s="13">
        <f>I54</f>
        <v>65.819474340764046</v>
      </c>
      <c r="I66" s="41" t="s">
        <v>304</v>
      </c>
    </row>
    <row r="68" spans="1:19" x14ac:dyDescent="0.2">
      <c r="B68" s="33" t="s">
        <v>1048</v>
      </c>
    </row>
    <row r="69" spans="1:19" x14ac:dyDescent="0.2">
      <c r="B69" s="41" t="s">
        <v>1053</v>
      </c>
      <c r="F69" s="13" t="str">
        <f>T(IF(F66&gt;I54,"RADIUS IS TOO LARGE! USE SMALLER TURN RADIUS","ok"))</f>
        <v>ok</v>
      </c>
      <c r="M69" s="77"/>
      <c r="S69" s="77"/>
    </row>
    <row r="70" spans="1:19" hidden="1" x14ac:dyDescent="0.2"/>
    <row r="71" spans="1:19" hidden="1" x14ac:dyDescent="0.2">
      <c r="B71" s="1" t="s">
        <v>1258</v>
      </c>
      <c r="C71" s="1"/>
      <c r="D71" s="1">
        <f>F66*TAN(K53/2)</f>
        <v>42.932982192787144</v>
      </c>
    </row>
    <row r="72" spans="1:19" hidden="1" x14ac:dyDescent="0.2">
      <c r="B72" s="1" t="s">
        <v>1259</v>
      </c>
      <c r="C72" s="1"/>
      <c r="D72" s="1">
        <f>I50-D71</f>
        <v>61.674262100979014</v>
      </c>
    </row>
    <row r="73" spans="1:19" hidden="1" x14ac:dyDescent="0.2">
      <c r="B73" s="1" t="s">
        <v>1260</v>
      </c>
      <c r="C73" s="1"/>
      <c r="D73" s="1">
        <f>I51-D71</f>
        <v>13.583544203425525</v>
      </c>
    </row>
    <row r="74" spans="1:19" s="28" customFormat="1" ht="13.5" thickBot="1" x14ac:dyDescent="0.25">
      <c r="G74" s="30"/>
      <c r="H74" s="30"/>
      <c r="J74" s="30"/>
      <c r="K74" s="30"/>
      <c r="M74" s="165"/>
      <c r="S74" s="165"/>
    </row>
    <row r="75" spans="1:19" s="100" customFormat="1" x14ac:dyDescent="0.2">
      <c r="A75" s="99" t="s">
        <v>13</v>
      </c>
    </row>
    <row r="77" spans="1:19" x14ac:dyDescent="0.2">
      <c r="A77" s="13" t="s">
        <v>1341</v>
      </c>
    </row>
    <row r="78" spans="1:19" x14ac:dyDescent="0.2">
      <c r="B78" t="s">
        <v>1342</v>
      </c>
    </row>
    <row r="79" spans="1:19" x14ac:dyDescent="0.2">
      <c r="G79" s="45"/>
    </row>
    <row r="80" spans="1:19" x14ac:dyDescent="0.2">
      <c r="B80" s="168" t="s">
        <v>1277</v>
      </c>
      <c r="C80" s="168"/>
      <c r="D80" s="168"/>
      <c r="E80" s="168"/>
      <c r="F80" s="168"/>
      <c r="G80" s="168"/>
    </row>
    <row r="81" spans="1:7" x14ac:dyDescent="0.2">
      <c r="B81" s="105"/>
      <c r="C81" s="105" t="s">
        <v>316</v>
      </c>
      <c r="D81" s="105"/>
      <c r="E81" s="105"/>
      <c r="F81" s="74">
        <f>ROUND(D72,2)</f>
        <v>61.67</v>
      </c>
      <c r="G81" s="158" t="s">
        <v>576</v>
      </c>
    </row>
    <row r="82" spans="1:7" x14ac:dyDescent="0.2">
      <c r="B82" s="105"/>
      <c r="C82" s="105" t="s">
        <v>315</v>
      </c>
      <c r="D82" s="105"/>
      <c r="E82" s="105"/>
      <c r="F82" s="74">
        <f>F66</f>
        <v>50</v>
      </c>
      <c r="G82" s="158" t="s">
        <v>576</v>
      </c>
    </row>
    <row r="83" spans="1:7" x14ac:dyDescent="0.2">
      <c r="B83" s="105"/>
      <c r="C83" s="105" t="s">
        <v>317</v>
      </c>
      <c r="D83" s="105"/>
      <c r="E83" s="105"/>
      <c r="F83" s="74">
        <f>-K53</f>
        <v>-1.419</v>
      </c>
      <c r="G83" s="158" t="s">
        <v>61</v>
      </c>
    </row>
    <row r="85" spans="1:7" x14ac:dyDescent="0.2">
      <c r="B85" s="168" t="s">
        <v>1278</v>
      </c>
      <c r="C85" s="168"/>
      <c r="D85" s="168"/>
      <c r="E85" s="168"/>
      <c r="F85" s="168"/>
      <c r="G85" s="168"/>
    </row>
    <row r="86" spans="1:7" x14ac:dyDescent="0.2">
      <c r="B86" s="105"/>
      <c r="C86" s="105" t="s">
        <v>316</v>
      </c>
      <c r="D86" s="105"/>
      <c r="E86" s="105"/>
      <c r="F86" s="74">
        <f>ROUND(D73,2)</f>
        <v>13.58</v>
      </c>
      <c r="G86" s="158" t="s">
        <v>576</v>
      </c>
    </row>
    <row r="88" spans="1:7" s="45" customFormat="1" x14ac:dyDescent="0.2">
      <c r="A88" s="169" t="s">
        <v>330</v>
      </c>
      <c r="B88"/>
      <c r="C88"/>
    </row>
    <row r="89" spans="1:7" s="45" customFormat="1" x14ac:dyDescent="0.2">
      <c r="B89" t="s">
        <v>1056</v>
      </c>
      <c r="C89"/>
    </row>
    <row r="90" spans="1:7" s="45" customFormat="1" x14ac:dyDescent="0.2">
      <c r="B90"/>
      <c r="C90"/>
    </row>
    <row r="91" spans="1:7" s="45" customFormat="1" x14ac:dyDescent="0.2">
      <c r="B91" s="168" t="s">
        <v>1261</v>
      </c>
      <c r="C91" s="168"/>
      <c r="D91" s="168"/>
      <c r="E91" s="168"/>
      <c r="F91" s="168"/>
    </row>
    <row r="92" spans="1:7" s="45" customFormat="1" x14ac:dyDescent="0.2">
      <c r="B92" s="105"/>
      <c r="C92" s="105" t="s">
        <v>1262</v>
      </c>
      <c r="D92" s="74">
        <f>180/PI()*ATAN((M42-M33)/D51)</f>
        <v>0</v>
      </c>
      <c r="E92" s="105" t="s">
        <v>297</v>
      </c>
      <c r="F92" s="105"/>
    </row>
    <row r="93" spans="1:7" s="45" customFormat="1" x14ac:dyDescent="0.2"/>
    <row r="94" spans="1:7" s="45" customFormat="1" x14ac:dyDescent="0.2">
      <c r="B94" s="168" t="s">
        <v>1263</v>
      </c>
      <c r="C94" s="168"/>
      <c r="D94" s="168"/>
      <c r="E94" s="168"/>
      <c r="F94" s="168"/>
    </row>
    <row r="95" spans="1:7" s="45" customFormat="1" x14ac:dyDescent="0.2">
      <c r="B95" s="105"/>
      <c r="C95" s="105" t="s">
        <v>1262</v>
      </c>
      <c r="D95" s="74">
        <f>-D92*COS(I53)</f>
        <v>0</v>
      </c>
      <c r="E95" s="105" t="s">
        <v>297</v>
      </c>
      <c r="F95" s="105"/>
    </row>
    <row r="96" spans="1:7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A2" sqref="A2"/>
    </sheetView>
  </sheetViews>
  <sheetFormatPr defaultRowHeight="12.75" x14ac:dyDescent="0.2"/>
  <cols>
    <col min="2" max="2" width="41" customWidth="1"/>
    <col min="3" max="5" width="54.7109375" customWidth="1"/>
  </cols>
  <sheetData>
    <row r="1" spans="1:5" s="5" customFormat="1" x14ac:dyDescent="0.2">
      <c r="A1" s="14" t="s">
        <v>225</v>
      </c>
      <c r="B1" s="14"/>
      <c r="C1" s="14"/>
      <c r="D1" s="14"/>
      <c r="E1" s="14"/>
    </row>
    <row r="3" spans="1:5" x14ac:dyDescent="0.2">
      <c r="A3" s="56" t="s">
        <v>926</v>
      </c>
    </row>
    <row r="5" spans="1:5" x14ac:dyDescent="0.2">
      <c r="A5" s="56" t="s">
        <v>226</v>
      </c>
    </row>
    <row r="7" spans="1:5" x14ac:dyDescent="0.2">
      <c r="B7" s="131" t="s">
        <v>151</v>
      </c>
      <c r="C7" s="131" t="s">
        <v>150</v>
      </c>
    </row>
    <row r="8" spans="1:5" x14ac:dyDescent="0.2">
      <c r="B8" s="72" t="s">
        <v>90</v>
      </c>
      <c r="C8" s="138" t="s">
        <v>898</v>
      </c>
    </row>
    <row r="9" spans="1:5" x14ac:dyDescent="0.2">
      <c r="B9" s="72" t="s">
        <v>612</v>
      </c>
      <c r="C9" s="138" t="s">
        <v>899</v>
      </c>
    </row>
    <row r="10" spans="1:5" x14ac:dyDescent="0.2">
      <c r="B10" s="72" t="s">
        <v>152</v>
      </c>
      <c r="C10" s="138" t="s">
        <v>903</v>
      </c>
    </row>
    <row r="11" spans="1:5" x14ac:dyDescent="0.2">
      <c r="B11" s="72" t="s">
        <v>896</v>
      </c>
      <c r="C11" s="138" t="s">
        <v>897</v>
      </c>
    </row>
    <row r="12" spans="1:5" x14ac:dyDescent="0.2">
      <c r="B12" s="72" t="s">
        <v>900</v>
      </c>
      <c r="C12" s="138" t="s">
        <v>901</v>
      </c>
    </row>
    <row r="13" spans="1:5" x14ac:dyDescent="0.2">
      <c r="B13" s="72" t="s">
        <v>930</v>
      </c>
      <c r="C13" s="139" t="s">
        <v>931</v>
      </c>
    </row>
    <row r="14" spans="1:5" x14ac:dyDescent="0.2">
      <c r="B14" s="72" t="s">
        <v>181</v>
      </c>
      <c r="C14" s="138" t="s">
        <v>182</v>
      </c>
    </row>
    <row r="15" spans="1:5" x14ac:dyDescent="0.2">
      <c r="B15" s="72"/>
      <c r="C15" s="138"/>
    </row>
    <row r="16" spans="1:5" x14ac:dyDescent="0.2">
      <c r="B16" s="72"/>
      <c r="C16" s="138"/>
    </row>
    <row r="17" spans="2:3" x14ac:dyDescent="0.2">
      <c r="B17" s="72"/>
      <c r="C17" s="138"/>
    </row>
    <row r="18" spans="2:3" x14ac:dyDescent="0.2">
      <c r="B18" s="72"/>
      <c r="C18" s="138"/>
    </row>
    <row r="19" spans="2:3" x14ac:dyDescent="0.2">
      <c r="B19" s="72"/>
      <c r="C19" s="138"/>
    </row>
    <row r="20" spans="2:3" x14ac:dyDescent="0.2">
      <c r="B20" s="72"/>
      <c r="C20" s="138"/>
    </row>
    <row r="21" spans="2:3" x14ac:dyDescent="0.2">
      <c r="B21" s="72"/>
      <c r="C21" s="138"/>
    </row>
    <row r="22" spans="2:3" x14ac:dyDescent="0.2">
      <c r="B22" s="72"/>
      <c r="C22" s="138"/>
    </row>
    <row r="23" spans="2:3" x14ac:dyDescent="0.2">
      <c r="B23" s="72"/>
      <c r="C23" s="138"/>
    </row>
    <row r="24" spans="2:3" x14ac:dyDescent="0.2">
      <c r="B24" s="72"/>
      <c r="C24" s="138"/>
    </row>
    <row r="25" spans="2:3" x14ac:dyDescent="0.2">
      <c r="B25" s="72"/>
      <c r="C25" s="138"/>
    </row>
    <row r="26" spans="2:3" x14ac:dyDescent="0.2">
      <c r="B26" s="72"/>
      <c r="C26" s="138"/>
    </row>
    <row r="27" spans="2:3" x14ac:dyDescent="0.2">
      <c r="B27" s="72"/>
      <c r="C27" s="138"/>
    </row>
    <row r="28" spans="2:3" x14ac:dyDescent="0.2">
      <c r="B28" s="72"/>
      <c r="C28" s="138"/>
    </row>
    <row r="29" spans="2:3" x14ac:dyDescent="0.2">
      <c r="B29" s="72"/>
      <c r="C29" s="138"/>
    </row>
    <row r="30" spans="2:3" x14ac:dyDescent="0.2">
      <c r="B30" s="72"/>
      <c r="C30" s="138"/>
    </row>
    <row r="31" spans="2:3" x14ac:dyDescent="0.2">
      <c r="B31" s="72"/>
      <c r="C31" s="138"/>
    </row>
    <row r="32" spans="2:3" x14ac:dyDescent="0.2">
      <c r="B32" s="72"/>
      <c r="C32" s="138"/>
    </row>
    <row r="33" spans="2:3" x14ac:dyDescent="0.2">
      <c r="B33" s="72"/>
      <c r="C33" s="138"/>
    </row>
    <row r="34" spans="2:3" x14ac:dyDescent="0.2">
      <c r="B34" s="72"/>
      <c r="C34" s="138"/>
    </row>
    <row r="35" spans="2:3" x14ac:dyDescent="0.2">
      <c r="B35" s="72"/>
      <c r="C35" s="138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A2" sqref="A2"/>
    </sheetView>
  </sheetViews>
  <sheetFormatPr defaultRowHeight="12.75" x14ac:dyDescent="0.2"/>
  <cols>
    <col min="7" max="11" width="0" hidden="1" customWidth="1"/>
  </cols>
  <sheetData>
    <row r="1" spans="1:14" s="5" customFormat="1" x14ac:dyDescent="0.2">
      <c r="A1" s="14" t="s">
        <v>820</v>
      </c>
      <c r="B1" s="14"/>
      <c r="C1" s="78"/>
      <c r="D1" s="14"/>
      <c r="E1" s="14"/>
    </row>
    <row r="3" spans="1:14" x14ac:dyDescent="0.2">
      <c r="A3" s="33" t="s">
        <v>822</v>
      </c>
    </row>
    <row r="5" spans="1:14" x14ac:dyDescent="0.2">
      <c r="A5" s="82" t="s">
        <v>615</v>
      </c>
      <c r="B5" s="10"/>
      <c r="C5" s="10"/>
      <c r="D5" s="10"/>
      <c r="E5" s="10"/>
      <c r="F5" s="10"/>
    </row>
    <row r="6" spans="1:14" x14ac:dyDescent="0.2">
      <c r="B6" t="s">
        <v>1101</v>
      </c>
    </row>
    <row r="8" spans="1:14" x14ac:dyDescent="0.2">
      <c r="A8" s="82" t="s">
        <v>616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x14ac:dyDescent="0.2">
      <c r="B9" t="s">
        <v>613</v>
      </c>
    </row>
    <row r="11" spans="1:14" x14ac:dyDescent="0.2">
      <c r="A11" s="82" t="s">
        <v>617</v>
      </c>
      <c r="B11" s="10"/>
      <c r="C11" s="10"/>
      <c r="D11" s="10"/>
      <c r="E11" s="10"/>
      <c r="F11" s="10"/>
    </row>
    <row r="12" spans="1:14" x14ac:dyDescent="0.2">
      <c r="A12" s="35"/>
      <c r="B12" t="s">
        <v>174</v>
      </c>
      <c r="H12" s="19"/>
      <c r="I12" s="19"/>
      <c r="J12" s="19"/>
      <c r="K12" s="19"/>
    </row>
    <row r="13" spans="1:14" x14ac:dyDescent="0.2">
      <c r="A13" s="80" t="s">
        <v>610</v>
      </c>
      <c r="B13" s="67" t="s">
        <v>612</v>
      </c>
      <c r="C13" s="2"/>
      <c r="D13" s="2"/>
      <c r="F13" s="59"/>
      <c r="G13" s="1" t="s">
        <v>848</v>
      </c>
      <c r="H13" s="19">
        <f>VALUE(MID(B13,1,H14-1))</f>
        <v>2.49378E-2</v>
      </c>
      <c r="I13" s="19">
        <f>VALUE(MID(B13,H14+1,I14-H14-1))</f>
        <v>0.303929</v>
      </c>
      <c r="J13" s="19">
        <f>VALUE(MID(B13,I14+1,J14-I14-1))</f>
        <v>7.9586499999999994E-3</v>
      </c>
      <c r="K13" s="19">
        <f>VALUE(MID(B13,J14+1,K14-J14))</f>
        <v>0.95233500000000004</v>
      </c>
      <c r="L13" s="59"/>
    </row>
    <row r="14" spans="1:14" x14ac:dyDescent="0.2">
      <c r="H14" s="1">
        <f>SEARCH(" ",B13,1)</f>
        <v>10</v>
      </c>
      <c r="I14" s="1">
        <f>SEARCH(" ",B13,H14+1)</f>
        <v>19</v>
      </c>
      <c r="J14" s="1">
        <f>SEARCH(" ",B13,I14+1)</f>
        <v>30</v>
      </c>
      <c r="K14" s="1">
        <f>LEN(B13)</f>
        <v>38</v>
      </c>
    </row>
    <row r="15" spans="1:14" x14ac:dyDescent="0.2">
      <c r="A15" s="56" t="s">
        <v>877</v>
      </c>
      <c r="B15" s="65" t="str">
        <f>CONCATENATE(TEXT(H15,"0.000000")," ",TEXT(I15,"0.000000")," ",TEXT(J15,"0.000000")," ",TEXT(K15,"0.000000"))</f>
        <v>-0.007959 -0.952335 0.024938 0.303929</v>
      </c>
      <c r="F15" s="59"/>
      <c r="G15" s="1" t="s">
        <v>611</v>
      </c>
      <c r="H15" s="1">
        <f>-J13</f>
        <v>-7.9586499999999994E-3</v>
      </c>
      <c r="I15" s="1">
        <f>-K13</f>
        <v>-0.95233500000000004</v>
      </c>
      <c r="J15" s="1">
        <f>H13</f>
        <v>2.49378E-2</v>
      </c>
      <c r="K15" s="1">
        <f>I13</f>
        <v>0.303929</v>
      </c>
      <c r="L15" s="59"/>
    </row>
    <row r="16" spans="1:14" x14ac:dyDescent="0.2">
      <c r="G16" s="1"/>
      <c r="H16" s="1"/>
      <c r="I16" s="1"/>
      <c r="J16" s="1"/>
      <c r="K16" s="1"/>
    </row>
    <row r="17" spans="1:14" x14ac:dyDescent="0.2">
      <c r="A17" s="82" t="s">
        <v>1301</v>
      </c>
      <c r="B17" s="10"/>
      <c r="C17" s="10"/>
      <c r="D17" s="10"/>
      <c r="E17" s="10"/>
    </row>
    <row r="19" spans="1:14" x14ac:dyDescent="0.2">
      <c r="A19" s="82" t="s">
        <v>621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s="28" customFormat="1" ht="13.5" thickBot="1" x14ac:dyDescent="0.25">
      <c r="A20" s="79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workbookViewId="0">
      <selection activeCell="A2" sqref="A2"/>
    </sheetView>
  </sheetViews>
  <sheetFormatPr defaultRowHeight="12.75" x14ac:dyDescent="0.2"/>
  <cols>
    <col min="7" max="7" width="13.140625" hidden="1" customWidth="1"/>
    <col min="8" max="17" width="0" hidden="1" customWidth="1"/>
  </cols>
  <sheetData>
    <row r="1" spans="1:20" s="5" customFormat="1" x14ac:dyDescent="0.2">
      <c r="A1" s="14" t="s">
        <v>92</v>
      </c>
      <c r="B1" s="14"/>
      <c r="C1" s="14"/>
      <c r="D1" s="14"/>
      <c r="E1" s="14"/>
      <c r="F1" s="14"/>
      <c r="G1" s="14"/>
      <c r="H1" s="14"/>
      <c r="I1" s="14"/>
    </row>
    <row r="3" spans="1:20" x14ac:dyDescent="0.2">
      <c r="A3" s="33" t="s">
        <v>93</v>
      </c>
    </row>
    <row r="4" spans="1:20" x14ac:dyDescent="0.2">
      <c r="A4" s="33"/>
      <c r="B4" t="s">
        <v>165</v>
      </c>
    </row>
    <row r="5" spans="1:20" x14ac:dyDescent="0.2">
      <c r="A5" s="33"/>
      <c r="B5" t="s">
        <v>178</v>
      </c>
    </row>
    <row r="6" spans="1:20" x14ac:dyDescent="0.2">
      <c r="A6" s="33"/>
    </row>
    <row r="7" spans="1:20" x14ac:dyDescent="0.2">
      <c r="A7" s="82" t="s">
        <v>615</v>
      </c>
      <c r="B7" s="11"/>
      <c r="C7" s="11"/>
      <c r="D7" s="11"/>
      <c r="E7" s="11"/>
      <c r="F7" s="11"/>
    </row>
    <row r="8" spans="1:20" x14ac:dyDescent="0.2">
      <c r="B8" t="s">
        <v>1101</v>
      </c>
    </row>
    <row r="10" spans="1:20" x14ac:dyDescent="0.2">
      <c r="A10" s="82" t="s">
        <v>616</v>
      </c>
      <c r="B10" s="11"/>
      <c r="C10" s="11"/>
      <c r="D10" s="11"/>
      <c r="E10" s="11"/>
      <c r="F10" s="11"/>
      <c r="G10" s="11"/>
      <c r="H10" s="11"/>
      <c r="I10" s="11"/>
      <c r="R10" s="10"/>
      <c r="S10" s="10"/>
      <c r="T10" s="10"/>
    </row>
    <row r="11" spans="1:20" x14ac:dyDescent="0.2">
      <c r="B11" t="s">
        <v>613</v>
      </c>
    </row>
    <row r="13" spans="1:20" x14ac:dyDescent="0.2">
      <c r="A13" s="82" t="s">
        <v>617</v>
      </c>
      <c r="B13" s="11"/>
      <c r="C13" s="11"/>
      <c r="D13" s="11"/>
      <c r="E13" s="11"/>
      <c r="F13" s="10"/>
      <c r="L13" s="1"/>
      <c r="M13" s="1"/>
      <c r="N13" s="1"/>
    </row>
    <row r="14" spans="1:20" x14ac:dyDescent="0.2">
      <c r="A14" s="35"/>
      <c r="B14" t="s">
        <v>174</v>
      </c>
      <c r="H14" s="19"/>
      <c r="I14" s="19"/>
      <c r="J14" s="19"/>
      <c r="K14" s="19"/>
      <c r="L14" s="1"/>
      <c r="M14" s="1"/>
      <c r="N14" s="1"/>
      <c r="O14" s="34"/>
      <c r="P14" s="1"/>
      <c r="Q14" s="34"/>
      <c r="R14" s="34"/>
      <c r="S14" s="1"/>
    </row>
    <row r="15" spans="1:20" x14ac:dyDescent="0.2">
      <c r="A15" s="80" t="s">
        <v>610</v>
      </c>
      <c r="B15" s="67" t="s">
        <v>612</v>
      </c>
      <c r="C15" s="2"/>
      <c r="D15" s="2"/>
      <c r="E15" s="2"/>
      <c r="F15" s="59"/>
      <c r="G15" s="1" t="s">
        <v>936</v>
      </c>
      <c r="H15" s="19">
        <f>VALUE(MID(B15,1,H16-1))</f>
        <v>2.49378E-2</v>
      </c>
      <c r="I15" s="19">
        <f>VALUE(MID(B15,H16+1,I16-H16-1))</f>
        <v>0.303929</v>
      </c>
      <c r="J15" s="19">
        <f>VALUE(MID(B15,I16+1,J16-I16-1))</f>
        <v>7.9586499999999994E-3</v>
      </c>
      <c r="K15" s="19">
        <f>VALUE(MID(B15,J16+1,K16-J16))</f>
        <v>0.95233500000000004</v>
      </c>
      <c r="L15" s="1"/>
      <c r="M15" s="1"/>
      <c r="N15" s="1"/>
      <c r="O15" s="1" t="s">
        <v>90</v>
      </c>
      <c r="P15" s="1"/>
      <c r="Q15" s="1"/>
      <c r="R15" s="59"/>
      <c r="S15" s="1"/>
    </row>
    <row r="16" spans="1:20" hidden="1" x14ac:dyDescent="0.2">
      <c r="D16" s="15"/>
      <c r="H16" s="1">
        <f>SEARCH(" ",B15,1)</f>
        <v>10</v>
      </c>
      <c r="I16" s="1">
        <f>SEARCH(" ",B15,H16+1)</f>
        <v>19</v>
      </c>
      <c r="J16" s="1">
        <f>SEARCH(" ",B15,I16+1)</f>
        <v>30</v>
      </c>
      <c r="K16" s="1">
        <f>LEN(B15)</f>
        <v>38</v>
      </c>
      <c r="L16" s="19"/>
      <c r="M16" s="2"/>
      <c r="N16" s="2"/>
      <c r="O16" s="2"/>
      <c r="P16" s="2"/>
      <c r="Q16" s="2"/>
      <c r="R16" s="2"/>
      <c r="S16" s="2"/>
    </row>
    <row r="17" spans="1:20" hidden="1" x14ac:dyDescent="0.2">
      <c r="D17" s="15"/>
      <c r="G17" s="1" t="s">
        <v>941</v>
      </c>
      <c r="H17" s="1" t="s">
        <v>940</v>
      </c>
      <c r="I17" s="1" t="s">
        <v>938</v>
      </c>
      <c r="J17" s="1" t="s">
        <v>937</v>
      </c>
      <c r="K17" s="1" t="s">
        <v>939</v>
      </c>
      <c r="L17" s="19" t="s">
        <v>36</v>
      </c>
      <c r="M17" s="19" t="s">
        <v>37</v>
      </c>
      <c r="N17" s="19" t="s">
        <v>38</v>
      </c>
      <c r="O17" s="37" t="s">
        <v>882</v>
      </c>
      <c r="P17" s="4" t="s">
        <v>881</v>
      </c>
      <c r="Q17" s="4" t="s">
        <v>499</v>
      </c>
      <c r="R17" s="2"/>
      <c r="S17" s="2"/>
    </row>
    <row r="18" spans="1:20" hidden="1" x14ac:dyDescent="0.2">
      <c r="D18" s="15"/>
      <c r="H18" s="19">
        <f>K15</f>
        <v>0.95233500000000004</v>
      </c>
      <c r="I18" s="19">
        <f>I15</f>
        <v>0.303929</v>
      </c>
      <c r="J18" s="19">
        <f>H15</f>
        <v>2.49378E-2</v>
      </c>
      <c r="K18" s="19">
        <f>J15</f>
        <v>7.9586499999999994E-3</v>
      </c>
      <c r="L18" s="19">
        <f>-2*H18*I18+2*J18*K18</f>
        <v>-0.57848750598606014</v>
      </c>
      <c r="M18" s="19">
        <f>2*H18*J18+2*I18*K18</f>
        <v>5.2336008597699997E-2</v>
      </c>
      <c r="N18" s="19">
        <f>H18*H18-I18*I18-J18*J18+K18*K18</f>
        <v>0.81401056142498251</v>
      </c>
      <c r="O18" s="37">
        <f>IF(ABS(M18)&lt;0.99999,ATAN(M18/SQRT(L18*L18+N18*N18)),SIGN(M18)*1000)</f>
        <v>5.235992876823263E-2</v>
      </c>
      <c r="P18" s="4">
        <f>IF(ABS(M18)&lt;0.99999,180/PI()*ATAN(M18/SQRT(L18*L18+N18*N18)),SIGN(M18)*90)</f>
        <v>3.0000029340253529</v>
      </c>
      <c r="Q18" s="4">
        <f>IF(ABS(L18)&gt;0.00001,IF(L18&gt;0,90-180/PI()*ATAN(N18/L18),-90-180/PI()*ATAN(N18/L18)),-90+SIGN(N18)*90)</f>
        <v>-35.400014532325926</v>
      </c>
      <c r="R18" s="2"/>
      <c r="S18" s="2"/>
    </row>
    <row r="19" spans="1:20" s="45" customFormat="1" hidden="1" x14ac:dyDescent="0.2">
      <c r="A19" s="46"/>
      <c r="D19" s="51" t="s">
        <v>524</v>
      </c>
      <c r="E19" s="51">
        <v>0</v>
      </c>
      <c r="G19" s="1"/>
      <c r="H19" s="1" t="s">
        <v>860</v>
      </c>
      <c r="I19" s="1" t="s">
        <v>861</v>
      </c>
      <c r="J19" s="1" t="s">
        <v>862</v>
      </c>
      <c r="K19" s="1" t="s">
        <v>863</v>
      </c>
      <c r="L19" s="1"/>
      <c r="M19" s="1" t="s">
        <v>163</v>
      </c>
      <c r="N19" s="1" t="s">
        <v>526</v>
      </c>
      <c r="O19" s="1" t="s">
        <v>527</v>
      </c>
    </row>
    <row r="20" spans="1:20" s="45" customFormat="1" hidden="1" x14ac:dyDescent="0.2">
      <c r="A20" s="46"/>
      <c r="D20" s="51" t="s">
        <v>525</v>
      </c>
      <c r="E20" s="51">
        <v>0</v>
      </c>
      <c r="G20" s="1" t="s">
        <v>864</v>
      </c>
      <c r="H20" s="19">
        <f>M20*N20*O20+M21*N21*O21</f>
        <v>0.95266144269657171</v>
      </c>
      <c r="I20" s="19">
        <f>M21*N20*O20-M20*N21*O21</f>
        <v>-0.3040331817405571</v>
      </c>
      <c r="J20" s="19">
        <f>M20*N21*O20+M21*N20*O21</f>
        <v>0</v>
      </c>
      <c r="K20" s="19">
        <f>M20*N20*O21-M21*N21*O20</f>
        <v>0</v>
      </c>
      <c r="L20" s="20" t="s">
        <v>34</v>
      </c>
      <c r="M20" s="1">
        <f>COS(-0.5*E21*PI()/180)</f>
        <v>0.95266144269657171</v>
      </c>
      <c r="N20" s="1">
        <f>COS(0.5*E20*PI()/180)</f>
        <v>1</v>
      </c>
      <c r="O20" s="1">
        <f>COS(0.5*E19*PI()/180)</f>
        <v>1</v>
      </c>
    </row>
    <row r="21" spans="1:20" s="45" customFormat="1" hidden="1" x14ac:dyDescent="0.2">
      <c r="A21" s="46"/>
      <c r="D21" s="51" t="s">
        <v>164</v>
      </c>
      <c r="E21" s="51">
        <f>-Q18</f>
        <v>35.400014532325926</v>
      </c>
      <c r="G21" s="1" t="s">
        <v>421</v>
      </c>
      <c r="H21" s="19">
        <f>H20*H18-I20*I18-J20*J18-K20*K18</f>
        <v>0.99965733592366546</v>
      </c>
      <c r="I21" s="19">
        <f>H20*I18+I20*H18+J20*K18-K20*J18</f>
        <v>-5.1556708902111836E-10</v>
      </c>
      <c r="J21" s="19">
        <f>H20*J18-I20*K18+J20*H18+K20*I18</f>
        <v>2.6176974207538051E-2</v>
      </c>
      <c r="K21" s="19">
        <f>H20*K18+I20*J18-J20*I18+K20*H18</f>
        <v>-1.9688692594679869E-8</v>
      </c>
      <c r="L21" s="20" t="s">
        <v>35</v>
      </c>
      <c r="M21" s="1">
        <f>SIN(-0.5*E21*PI()/180)</f>
        <v>-0.3040331817405571</v>
      </c>
      <c r="N21" s="1">
        <f>SIN(0.5*E20*PI()/180)</f>
        <v>0</v>
      </c>
      <c r="O21" s="1">
        <f>SIN(0.5*E19*PI()/180)</f>
        <v>0</v>
      </c>
    </row>
    <row r="22" spans="1:20" s="45" customFormat="1" hidden="1" x14ac:dyDescent="0.2">
      <c r="A22" s="46"/>
      <c r="E22" s="51"/>
      <c r="G22" s="1" t="s">
        <v>848</v>
      </c>
      <c r="H22" s="1">
        <f>J21</f>
        <v>2.6176974207538051E-2</v>
      </c>
      <c r="I22" s="1">
        <f>I21</f>
        <v>-5.1556708902111836E-10</v>
      </c>
      <c r="J22" s="1">
        <f>K21</f>
        <v>-1.9688692594679869E-8</v>
      </c>
      <c r="K22" s="1">
        <f>H21</f>
        <v>0.99965733592366546</v>
      </c>
      <c r="L22" s="20"/>
      <c r="M22" s="1"/>
      <c r="N22" s="1"/>
      <c r="O22" s="1"/>
    </row>
    <row r="23" spans="1:20" s="45" customFormat="1" hidden="1" x14ac:dyDescent="0.2">
      <c r="A23" s="46"/>
      <c r="E23" s="51"/>
      <c r="G23" s="1"/>
      <c r="H23" s="19" t="s">
        <v>36</v>
      </c>
      <c r="I23" s="19" t="s">
        <v>37</v>
      </c>
      <c r="J23" s="19" t="s">
        <v>38</v>
      </c>
      <c r="K23" s="19" t="s">
        <v>882</v>
      </c>
      <c r="L23" s="21" t="s">
        <v>881</v>
      </c>
      <c r="M23" s="53" t="s">
        <v>523</v>
      </c>
      <c r="N23" s="19"/>
      <c r="O23" s="19"/>
    </row>
    <row r="24" spans="1:20" s="45" customFormat="1" hidden="1" x14ac:dyDescent="0.2">
      <c r="A24" s="46"/>
      <c r="E24" s="51"/>
      <c r="G24" s="1" t="s">
        <v>39</v>
      </c>
      <c r="H24" s="19">
        <f>-2*H21*I21+2*J21*K21</f>
        <v>4.8939380142331487E-17</v>
      </c>
      <c r="I24" s="19">
        <f>2*H21*J21+2*I21*K21</f>
        <v>5.2336008597700004E-2</v>
      </c>
      <c r="J24" s="19">
        <f>H21*H21-I21*I21-J21*J21+K21*K21</f>
        <v>0.99862955528733832</v>
      </c>
      <c r="K24" s="19">
        <f>IF(ABS(I24)&lt;0.99999,ATAN(I24/SQRT(H24*H24+J24*J24)),SIGN(I24)*1000)</f>
        <v>5.2359928768232637E-2</v>
      </c>
      <c r="L24" s="21">
        <f>IF(ABS(I24)&lt;0.99999,180/PI()*ATAN(I24/SQRT(H24*H24+J24*J24)),SIGN(I24)*90)</f>
        <v>3.0000029340253533</v>
      </c>
      <c r="M24" s="20">
        <f>IF(ABS(H24)&gt;0.00001,IF(H24&gt;0,90-180/PI()*ATAN(J24/H24),-90-180/PI()*ATAN(J24/H24)),-90-SIGN(J24)*90)</f>
        <v>-180</v>
      </c>
      <c r="N24" s="19"/>
      <c r="O24" s="19"/>
    </row>
    <row r="25" spans="1:20" s="45" customFormat="1" hidden="1" x14ac:dyDescent="0.2">
      <c r="A25" s="46"/>
      <c r="E25" s="51"/>
    </row>
    <row r="26" spans="1:20" s="45" customFormat="1" hidden="1" x14ac:dyDescent="0.2">
      <c r="A26" s="46"/>
      <c r="D26" s="51" t="s">
        <v>524</v>
      </c>
      <c r="E26" s="51">
        <v>0</v>
      </c>
      <c r="G26" s="1"/>
      <c r="H26" s="1" t="s">
        <v>860</v>
      </c>
      <c r="I26" s="1" t="s">
        <v>861</v>
      </c>
      <c r="J26" s="1" t="s">
        <v>862</v>
      </c>
      <c r="K26" s="1" t="s">
        <v>863</v>
      </c>
      <c r="L26" s="1"/>
      <c r="M26" s="1" t="s">
        <v>163</v>
      </c>
      <c r="N26" s="1" t="s">
        <v>526</v>
      </c>
      <c r="O26" s="1" t="s">
        <v>527</v>
      </c>
    </row>
    <row r="27" spans="1:20" s="45" customFormat="1" hidden="1" x14ac:dyDescent="0.2">
      <c r="A27" s="46"/>
      <c r="D27" s="51" t="s">
        <v>525</v>
      </c>
      <c r="E27" s="51">
        <f>-P18</f>
        <v>-3.0000029340253529</v>
      </c>
      <c r="G27" s="1" t="s">
        <v>864</v>
      </c>
      <c r="H27" s="19">
        <f>M27*N27*O27+M28*N28*O28</f>
        <v>0.99965732430531706</v>
      </c>
      <c r="I27" s="19">
        <f>M28*N27*O27-M27*N28*O28</f>
        <v>0</v>
      </c>
      <c r="J27" s="19">
        <f>M27*N28*O27+M28*N27*O28</f>
        <v>-2.6176973903300597E-2</v>
      </c>
      <c r="K27" s="19">
        <f>M27*N27*O28-M28*N28*O27</f>
        <v>0</v>
      </c>
      <c r="L27" s="20" t="s">
        <v>34</v>
      </c>
      <c r="M27" s="1">
        <f>COS(-0.5*E28*PI()/180)</f>
        <v>1</v>
      </c>
      <c r="N27" s="1">
        <f>COS(0.5*E27*PI()/180)</f>
        <v>0.99965732430531706</v>
      </c>
      <c r="O27" s="1">
        <f>COS(0.5*E26*PI()/180)</f>
        <v>1</v>
      </c>
    </row>
    <row r="28" spans="1:20" s="45" customFormat="1" hidden="1" x14ac:dyDescent="0.2">
      <c r="A28" s="46"/>
      <c r="D28" s="51" t="s">
        <v>164</v>
      </c>
      <c r="E28" s="51">
        <v>0</v>
      </c>
      <c r="G28" s="1" t="s">
        <v>351</v>
      </c>
      <c r="H28" s="19">
        <f>H27*H21-I27*I21-J27*J21-K27*K21</f>
        <v>1.0000000116223311</v>
      </c>
      <c r="I28" s="19">
        <f>H27*I21+I27*H21+J27*K21-K27*J21</f>
        <v>-2.4469689760973014E-17</v>
      </c>
      <c r="J28" s="19">
        <f>H27*J21-I27*K21+J27*H21+K27*I21</f>
        <v>-3.4694469519536142E-18</v>
      </c>
      <c r="K28" s="19">
        <f>H27*K21+I27*J21-J27*I21+K27*H21</f>
        <v>-1.9695441744502293E-8</v>
      </c>
      <c r="L28" s="20" t="s">
        <v>35</v>
      </c>
      <c r="M28" s="1">
        <f>SIN(-0.5*E28*PI()/180)</f>
        <v>0</v>
      </c>
      <c r="N28" s="1">
        <f>SIN(0.5*E27*PI()/180)</f>
        <v>-2.6176973903300597E-2</v>
      </c>
      <c r="O28" s="1">
        <f>SIN(0.5*E26*PI()/180)</f>
        <v>0</v>
      </c>
    </row>
    <row r="29" spans="1:20" s="45" customFormat="1" hidden="1" x14ac:dyDescent="0.2">
      <c r="A29" s="46"/>
      <c r="G29" s="1" t="s">
        <v>848</v>
      </c>
      <c r="H29" s="1">
        <f>J28</f>
        <v>-3.4694469519536142E-18</v>
      </c>
      <c r="I29" s="1">
        <f>I28</f>
        <v>-2.4469689760973014E-17</v>
      </c>
      <c r="J29" s="1">
        <f>K28</f>
        <v>-1.9695441744502293E-8</v>
      </c>
      <c r="K29" s="1">
        <f>H28</f>
        <v>1.0000000116223311</v>
      </c>
      <c r="L29" s="53" t="s">
        <v>529</v>
      </c>
      <c r="M29" s="1"/>
      <c r="N29" s="1"/>
      <c r="O29" s="1">
        <f>SIGN(I28+J28+K28+0.000001)</f>
        <v>1</v>
      </c>
    </row>
    <row r="30" spans="1:20" s="45" customFormat="1" hidden="1" x14ac:dyDescent="0.2">
      <c r="A30" s="46"/>
      <c r="G30" s="1"/>
      <c r="H30" s="19" t="s">
        <v>36</v>
      </c>
      <c r="I30" s="19" t="s">
        <v>37</v>
      </c>
      <c r="J30" s="19" t="s">
        <v>38</v>
      </c>
      <c r="K30" s="19" t="s">
        <v>882</v>
      </c>
      <c r="L30" s="19" t="s">
        <v>881</v>
      </c>
      <c r="M30" s="19" t="s">
        <v>1075</v>
      </c>
      <c r="N30" s="21" t="s">
        <v>528</v>
      </c>
      <c r="O30" s="19"/>
    </row>
    <row r="31" spans="1:20" s="45" customFormat="1" hidden="1" x14ac:dyDescent="0.2">
      <c r="A31" s="46"/>
      <c r="G31" s="1" t="s">
        <v>39</v>
      </c>
      <c r="H31" s="19">
        <f>-2*H28*I28+2*J28*K28</f>
        <v>4.8939380227400281E-17</v>
      </c>
      <c r="I31" s="19">
        <f>2*H28*J28+2*I28*K28</f>
        <v>-6.9388930206706522E-18</v>
      </c>
      <c r="J31" s="19">
        <f>H28*H28-I28*I28-J28*J28+K28*K28</f>
        <v>1.0000000232446629</v>
      </c>
      <c r="K31" s="19">
        <f>IF(ABS(I31)&lt;0.99999,ATAN(I31/SQRT(H31*H31+J31*J31)),SIGN(I31)*1000)</f>
        <v>-6.9388928593784274E-18</v>
      </c>
      <c r="L31" s="19">
        <f>IF(ABS(I31)&lt;0.99999,180/PI()*ATAN(I31/SQRT(H31*H31+J31*J31)),SIGN(I31)*90)</f>
        <v>-3.9756927533584772E-16</v>
      </c>
      <c r="M31" s="19">
        <f>IF(ABS(H31)&gt;0.00001,IF(H31&gt;0,-90+180/PI()*ATAN(J31/H31),90+180/PI()*ATAN(J31/H31)),90-SIGN(J31)*90)</f>
        <v>0</v>
      </c>
      <c r="N31" s="21">
        <f>IF(ABS(H28)&lt;0.999999,O29*2*180/PI()*ACOS(H28),IF(H28&gt;0,0,180))</f>
        <v>0</v>
      </c>
      <c r="O31" s="19"/>
      <c r="T31"/>
    </row>
    <row r="32" spans="1:20" s="45" customFormat="1" x14ac:dyDescent="0.2">
      <c r="A32" s="46"/>
      <c r="F32" s="61"/>
      <c r="G32" s="1"/>
      <c r="H32" s="19"/>
      <c r="I32" s="19"/>
      <c r="J32" s="19"/>
      <c r="K32" s="19"/>
      <c r="L32" s="19"/>
      <c r="M32" s="19"/>
      <c r="N32" s="21"/>
      <c r="O32" s="19"/>
      <c r="R32" s="61"/>
    </row>
    <row r="33" spans="1:20" x14ac:dyDescent="0.2">
      <c r="A33" t="s">
        <v>422</v>
      </c>
      <c r="D33" s="15"/>
      <c r="L33" s="19"/>
      <c r="M33" s="2"/>
      <c r="N33" s="2"/>
      <c r="O33" s="2"/>
      <c r="P33" s="2"/>
      <c r="Q33" s="2"/>
      <c r="R33" s="2"/>
      <c r="S33" s="2"/>
    </row>
    <row r="34" spans="1:20" x14ac:dyDescent="0.2">
      <c r="A34" s="2" t="s">
        <v>842</v>
      </c>
      <c r="B34" s="2"/>
      <c r="C34" s="2" t="s">
        <v>524</v>
      </c>
      <c r="D34" s="81">
        <f>N31</f>
        <v>0</v>
      </c>
      <c r="E34" t="s">
        <v>1076</v>
      </c>
      <c r="L34" s="19"/>
      <c r="M34" s="2"/>
      <c r="N34" s="2"/>
      <c r="O34" s="2"/>
      <c r="P34" s="2"/>
      <c r="Q34" s="2"/>
      <c r="R34" s="2"/>
      <c r="S34" s="2"/>
    </row>
    <row r="35" spans="1:20" x14ac:dyDescent="0.2">
      <c r="A35" s="2" t="s">
        <v>849</v>
      </c>
      <c r="B35" s="2"/>
      <c r="C35" s="2" t="s">
        <v>525</v>
      </c>
      <c r="D35" s="81">
        <f>P18</f>
        <v>3.0000029340253529</v>
      </c>
      <c r="E35" t="s">
        <v>1076</v>
      </c>
      <c r="L35" s="19"/>
      <c r="M35" s="2"/>
      <c r="N35" s="2"/>
      <c r="O35" s="2"/>
      <c r="P35" s="2"/>
      <c r="Q35" s="2"/>
      <c r="R35" s="2"/>
      <c r="S35" s="2"/>
    </row>
    <row r="36" spans="1:20" x14ac:dyDescent="0.2">
      <c r="A36" s="2" t="s">
        <v>859</v>
      </c>
      <c r="B36" s="2"/>
      <c r="C36" s="2" t="s">
        <v>164</v>
      </c>
      <c r="D36" s="81">
        <f>Q18</f>
        <v>-35.400014532325926</v>
      </c>
      <c r="E36" t="s">
        <v>1076</v>
      </c>
      <c r="L36" s="19"/>
      <c r="M36" s="2"/>
      <c r="N36" s="2"/>
      <c r="O36" s="2"/>
      <c r="P36" s="2"/>
      <c r="Q36" s="2"/>
      <c r="R36" s="2"/>
      <c r="S36" s="2"/>
    </row>
    <row r="37" spans="1:20" x14ac:dyDescent="0.2">
      <c r="A37" s="2"/>
      <c r="B37" s="2"/>
      <c r="C37" s="2"/>
      <c r="D37" s="81"/>
      <c r="F37" s="59"/>
      <c r="L37" s="19"/>
      <c r="M37" s="2"/>
      <c r="N37" s="2"/>
      <c r="O37" s="2"/>
      <c r="P37" s="2"/>
      <c r="Q37" s="2"/>
      <c r="R37" s="59"/>
      <c r="S37" s="2"/>
    </row>
    <row r="38" spans="1:20" hidden="1" x14ac:dyDescent="0.2">
      <c r="B38" s="3"/>
      <c r="E38" s="1">
        <v>0</v>
      </c>
      <c r="G38" s="1"/>
      <c r="H38" s="1" t="s">
        <v>844</v>
      </c>
      <c r="I38" s="1" t="s">
        <v>845</v>
      </c>
      <c r="J38" s="1" t="s">
        <v>846</v>
      </c>
      <c r="K38" s="1" t="s">
        <v>847</v>
      </c>
      <c r="L38" s="1"/>
      <c r="M38" s="1" t="s">
        <v>163</v>
      </c>
      <c r="N38" s="1" t="s">
        <v>526</v>
      </c>
      <c r="O38" s="1" t="s">
        <v>527</v>
      </c>
    </row>
    <row r="39" spans="1:20" hidden="1" x14ac:dyDescent="0.2">
      <c r="B39" s="3"/>
      <c r="E39" s="1">
        <v>0</v>
      </c>
      <c r="G39" s="1" t="s">
        <v>856</v>
      </c>
      <c r="H39" s="19">
        <f>M39*N39*O39+M40*N40*O40</f>
        <v>0.95266144269657171</v>
      </c>
      <c r="I39" s="19">
        <f>M40*N39*O39-M39*N40*O40</f>
        <v>0.3040331817405571</v>
      </c>
      <c r="J39" s="19">
        <f>M39*N40*O39+M40*N39*O40</f>
        <v>0</v>
      </c>
      <c r="K39" s="19">
        <f>M39*N39*O40-M40*N40*O39</f>
        <v>0</v>
      </c>
      <c r="L39" s="20" t="s">
        <v>34</v>
      </c>
      <c r="M39" s="1">
        <f>COS(-0.5*E40*PI()/180)</f>
        <v>0.95266144269657171</v>
      </c>
      <c r="N39" s="1">
        <f>COS(0.5*E39*PI()/180)</f>
        <v>1</v>
      </c>
      <c r="O39" s="1">
        <f>COS(0.5*E38*PI()/180)</f>
        <v>1</v>
      </c>
    </row>
    <row r="40" spans="1:20" hidden="1" x14ac:dyDescent="0.2">
      <c r="B40" s="3"/>
      <c r="E40" s="1">
        <f>Q18</f>
        <v>-35.400014532325926</v>
      </c>
      <c r="G40" s="1" t="s">
        <v>857</v>
      </c>
      <c r="H40" s="1">
        <f>J39</f>
        <v>0</v>
      </c>
      <c r="I40" s="1">
        <f>I39</f>
        <v>0.3040331817405571</v>
      </c>
      <c r="J40" s="1">
        <f>K39</f>
        <v>0</v>
      </c>
      <c r="K40" s="1">
        <f>H39</f>
        <v>0.95266144269657171</v>
      </c>
      <c r="L40" s="20" t="s">
        <v>35</v>
      </c>
      <c r="M40" s="1">
        <f>SIN(-0.5*E40*PI()/180)</f>
        <v>0.3040331817405571</v>
      </c>
      <c r="N40" s="1">
        <f>SIN(0.5*E39*PI()/180)</f>
        <v>0</v>
      </c>
      <c r="O40" s="1">
        <f>SIN(0.5*E38*PI()/180)</f>
        <v>0</v>
      </c>
    </row>
    <row r="41" spans="1:20" x14ac:dyDescent="0.2">
      <c r="A41" s="56" t="s">
        <v>877</v>
      </c>
      <c r="B41" s="65" t="str">
        <f>CONCATENATE(TEXT(H40,"0.000000")," ",TEXT(I40,"0.000000")," ",TEXT(J40,"0.000000")," ",TEXT(K40,"0.000000"))</f>
        <v>0.000000 0.304033 0.000000 0.952661</v>
      </c>
      <c r="D41" s="2"/>
      <c r="E41" s="2"/>
      <c r="F41" s="59"/>
      <c r="G41" s="13"/>
      <c r="H41" s="15"/>
      <c r="I41" s="2"/>
      <c r="J41" s="2"/>
      <c r="K41" s="2"/>
      <c r="R41" s="59"/>
    </row>
    <row r="42" spans="1:20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20" x14ac:dyDescent="0.2">
      <c r="A43" s="82" t="s">
        <v>1302</v>
      </c>
      <c r="B43" s="10"/>
      <c r="C43" s="10"/>
      <c r="D43" s="10"/>
      <c r="E43" s="10"/>
      <c r="F43" s="10"/>
    </row>
    <row r="45" spans="1:20" x14ac:dyDescent="0.2">
      <c r="A45" s="82" t="s">
        <v>621</v>
      </c>
      <c r="B45" s="11"/>
      <c r="C45" s="11"/>
      <c r="D45" s="11"/>
      <c r="E45" s="11"/>
      <c r="F45" s="11"/>
      <c r="G45" s="11"/>
      <c r="H45" s="11"/>
      <c r="R45" s="10"/>
      <c r="S45" s="10"/>
      <c r="T45" s="10"/>
    </row>
    <row r="46" spans="1:20" s="28" customFormat="1" ht="13.5" thickBot="1" x14ac:dyDescent="0.25">
      <c r="A46" s="79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selection activeCell="A2" sqref="A2"/>
    </sheetView>
  </sheetViews>
  <sheetFormatPr defaultRowHeight="12.75" x14ac:dyDescent="0.2"/>
  <cols>
    <col min="7" max="7" width="13.5703125" hidden="1" customWidth="1"/>
    <col min="8" max="17" width="0" hidden="1" customWidth="1"/>
  </cols>
  <sheetData>
    <row r="1" spans="1:20" s="5" customFormat="1" x14ac:dyDescent="0.2">
      <c r="A1" s="14" t="s">
        <v>94</v>
      </c>
      <c r="B1" s="14"/>
      <c r="C1" s="14"/>
      <c r="D1" s="14"/>
      <c r="E1" s="14"/>
      <c r="F1" s="14"/>
      <c r="G1" s="14"/>
      <c r="H1" s="14"/>
      <c r="I1" s="14"/>
    </row>
    <row r="3" spans="1:20" x14ac:dyDescent="0.2">
      <c r="A3" s="33" t="s">
        <v>95</v>
      </c>
    </row>
    <row r="4" spans="1:20" x14ac:dyDescent="0.2">
      <c r="A4" s="33"/>
      <c r="B4" t="s">
        <v>179</v>
      </c>
    </row>
    <row r="5" spans="1:20" x14ac:dyDescent="0.2">
      <c r="A5" s="33"/>
      <c r="B5" t="s">
        <v>180</v>
      </c>
    </row>
    <row r="6" spans="1:20" x14ac:dyDescent="0.2">
      <c r="A6" s="33"/>
    </row>
    <row r="7" spans="1:20" x14ac:dyDescent="0.2">
      <c r="A7" s="82" t="s">
        <v>813</v>
      </c>
      <c r="B7" s="10"/>
      <c r="C7" s="10"/>
      <c r="D7" s="10"/>
      <c r="E7" s="10"/>
      <c r="F7" s="10"/>
      <c r="G7" s="10"/>
    </row>
    <row r="8" spans="1:20" x14ac:dyDescent="0.2">
      <c r="A8" s="33"/>
    </row>
    <row r="9" spans="1:20" x14ac:dyDescent="0.2">
      <c r="A9" s="82" t="s">
        <v>814</v>
      </c>
      <c r="B9" s="11"/>
      <c r="C9" s="11"/>
      <c r="D9" s="11"/>
      <c r="E9" s="11"/>
      <c r="F9" s="11"/>
      <c r="G9" s="11"/>
      <c r="H9" s="10"/>
      <c r="I9" s="10"/>
    </row>
    <row r="10" spans="1:20" x14ac:dyDescent="0.2">
      <c r="A10" s="33"/>
      <c r="B10" t="s">
        <v>691</v>
      </c>
    </row>
    <row r="11" spans="1:20" x14ac:dyDescent="0.2">
      <c r="A11" s="33"/>
    </row>
    <row r="12" spans="1:20" x14ac:dyDescent="0.2">
      <c r="A12" s="82" t="s">
        <v>815</v>
      </c>
      <c r="B12" s="11"/>
      <c r="C12" s="11"/>
      <c r="D12" s="11"/>
      <c r="E12" s="11"/>
      <c r="F12" s="11"/>
    </row>
    <row r="13" spans="1:20" x14ac:dyDescent="0.2">
      <c r="B13" t="s">
        <v>1101</v>
      </c>
    </row>
    <row r="15" spans="1:20" x14ac:dyDescent="0.2">
      <c r="A15" s="82" t="s">
        <v>809</v>
      </c>
      <c r="B15" s="11"/>
      <c r="C15" s="11"/>
      <c r="D15" s="11"/>
      <c r="E15" s="11"/>
      <c r="F15" s="11"/>
      <c r="G15" s="11"/>
      <c r="H15" s="11"/>
      <c r="I15" s="11"/>
      <c r="R15" s="10"/>
      <c r="S15" s="10"/>
      <c r="T15" s="10"/>
    </row>
    <row r="16" spans="1:20" x14ac:dyDescent="0.2">
      <c r="B16" t="s">
        <v>613</v>
      </c>
    </row>
    <row r="18" spans="1:19" x14ac:dyDescent="0.2">
      <c r="A18" s="82" t="s">
        <v>810</v>
      </c>
      <c r="B18" s="11"/>
      <c r="C18" s="11"/>
      <c r="D18" s="11"/>
      <c r="E18" s="11"/>
      <c r="F18" s="10"/>
      <c r="L18" s="1"/>
      <c r="M18" s="1"/>
      <c r="N18" s="1"/>
    </row>
    <row r="19" spans="1:19" x14ac:dyDescent="0.2">
      <c r="A19" s="35"/>
      <c r="B19" t="s">
        <v>174</v>
      </c>
      <c r="H19" s="19"/>
      <c r="I19" s="19"/>
      <c r="J19" s="19"/>
      <c r="K19" s="19"/>
      <c r="L19" s="1"/>
      <c r="M19" s="1"/>
      <c r="N19" s="1"/>
      <c r="O19" s="34"/>
      <c r="P19" s="1"/>
      <c r="Q19" s="34"/>
      <c r="R19" s="34"/>
      <c r="S19" s="1"/>
    </row>
    <row r="20" spans="1:19" x14ac:dyDescent="0.2">
      <c r="A20" s="80" t="s">
        <v>610</v>
      </c>
      <c r="B20" s="67" t="s">
        <v>90</v>
      </c>
      <c r="C20" s="2"/>
      <c r="D20" s="2"/>
      <c r="E20" s="2"/>
      <c r="F20" s="59"/>
      <c r="G20" s="1" t="s">
        <v>936</v>
      </c>
      <c r="H20" s="19">
        <f>VALUE(MID(B20,1,H21-1))</f>
        <v>-5.8100000000000003E-4</v>
      </c>
      <c r="I20" s="19">
        <f>VALUE(MID(B20,H21+1,I21-H21-1))</f>
        <v>0.38296400000000003</v>
      </c>
      <c r="J20" s="19">
        <f>VALUE(MID(B20,I21+1,J21-I21-1))</f>
        <v>4.6965E-2</v>
      </c>
      <c r="K20" s="19">
        <f>VALUE(MID(B20,J21+1,K21-J21))</f>
        <v>0.92256800000000005</v>
      </c>
      <c r="L20" s="1"/>
      <c r="M20" s="1"/>
      <c r="N20" s="1"/>
      <c r="O20" s="1" t="s">
        <v>90</v>
      </c>
      <c r="P20" s="1"/>
      <c r="Q20" s="1"/>
      <c r="R20" s="59"/>
      <c r="S20" s="1"/>
    </row>
    <row r="21" spans="1:19" hidden="1" x14ac:dyDescent="0.2">
      <c r="D21" s="15"/>
      <c r="H21" s="1">
        <f>SEARCH(" ",B20,1)</f>
        <v>10</v>
      </c>
      <c r="I21" s="1">
        <f>SEARCH(" ",B20,H21+1)</f>
        <v>19</v>
      </c>
      <c r="J21" s="1">
        <f>SEARCH(" ",B20,I21+1)</f>
        <v>28</v>
      </c>
      <c r="K21" s="1">
        <f>LEN(B20)</f>
        <v>36</v>
      </c>
      <c r="L21" s="19"/>
      <c r="M21" s="2"/>
      <c r="N21" s="2"/>
      <c r="O21" s="2"/>
      <c r="P21" s="2"/>
      <c r="Q21" s="2"/>
      <c r="R21" s="2"/>
      <c r="S21" s="2"/>
    </row>
    <row r="22" spans="1:19" hidden="1" x14ac:dyDescent="0.2">
      <c r="D22" s="15"/>
      <c r="G22" s="1" t="s">
        <v>941</v>
      </c>
      <c r="H22" s="1" t="s">
        <v>940</v>
      </c>
      <c r="I22" s="1" t="s">
        <v>938</v>
      </c>
      <c r="J22" s="1" t="s">
        <v>937</v>
      </c>
      <c r="K22" s="1" t="s">
        <v>939</v>
      </c>
      <c r="L22" s="19" t="s">
        <v>36</v>
      </c>
      <c r="M22" s="19" t="s">
        <v>37</v>
      </c>
      <c r="N22" s="19" t="s">
        <v>38</v>
      </c>
      <c r="O22" s="37" t="s">
        <v>882</v>
      </c>
      <c r="P22" s="4" t="s">
        <v>881</v>
      </c>
      <c r="Q22" s="4" t="s">
        <v>499</v>
      </c>
      <c r="R22" s="2"/>
      <c r="S22" s="2"/>
    </row>
    <row r="23" spans="1:19" hidden="1" x14ac:dyDescent="0.2">
      <c r="D23" s="15"/>
      <c r="H23" s="19">
        <f>K20</f>
        <v>0.92256800000000005</v>
      </c>
      <c r="I23" s="19">
        <f>I20</f>
        <v>0.38296400000000003</v>
      </c>
      <c r="J23" s="19">
        <f>H20</f>
        <v>-5.8100000000000003E-4</v>
      </c>
      <c r="K23" s="19">
        <f>J20</f>
        <v>4.6965E-2</v>
      </c>
      <c r="L23" s="19">
        <f>-2*H23*I23+2*J23*K23</f>
        <v>-0.7066752364340001</v>
      </c>
      <c r="M23" s="19">
        <f>2*H23*J23+2*I23*K23</f>
        <v>3.4899784504000005E-2</v>
      </c>
      <c r="N23" s="19">
        <f>H23*H23-I23*I23-J23*J23+K23*K23</f>
        <v>0.70667566299200002</v>
      </c>
      <c r="O23" s="37">
        <f>IF(ABS(M23)&lt;0.99999,ATAN(M23/SQRT(L23*L23+N23*N23)),SIGN(M23)*1000)</f>
        <v>3.4906901348082518E-2</v>
      </c>
      <c r="P23" s="4">
        <f>IF(ABS(M23)&lt;0.99999,180/PI()*ATAN(M23/SQRT(L23*L23+N23*N23)),SIGN(M23)*90)</f>
        <v>2.0000181231246521</v>
      </c>
      <c r="Q23" s="4">
        <f>IF(ABS(L23)&gt;0.00001,IF(L23&gt;0,90-180/PI()*ATAN(N23/L23),-90-180/PI()*ATAN(N23/L23)),-90+SIGN(N23)*90)</f>
        <v>-44.999982707781115</v>
      </c>
      <c r="R23" s="2"/>
      <c r="S23" s="2"/>
    </row>
    <row r="24" spans="1:19" s="45" customFormat="1" hidden="1" x14ac:dyDescent="0.2">
      <c r="A24" s="46"/>
      <c r="D24" s="51" t="s">
        <v>524</v>
      </c>
      <c r="E24" s="51">
        <v>0</v>
      </c>
      <c r="G24" s="1"/>
      <c r="H24" s="1" t="s">
        <v>860</v>
      </c>
      <c r="I24" s="1" t="s">
        <v>861</v>
      </c>
      <c r="J24" s="1" t="s">
        <v>862</v>
      </c>
      <c r="K24" s="1" t="s">
        <v>863</v>
      </c>
      <c r="L24" s="1"/>
      <c r="M24" s="1" t="s">
        <v>163</v>
      </c>
      <c r="N24" s="1" t="s">
        <v>526</v>
      </c>
      <c r="O24" s="1" t="s">
        <v>527</v>
      </c>
    </row>
    <row r="25" spans="1:19" s="45" customFormat="1" hidden="1" x14ac:dyDescent="0.2">
      <c r="A25" s="46"/>
      <c r="D25" s="51" t="s">
        <v>525</v>
      </c>
      <c r="E25" s="51">
        <v>0</v>
      </c>
      <c r="G25" s="1" t="s">
        <v>864</v>
      </c>
      <c r="H25" s="19">
        <f>M25*N25*O25+M26*N26*O26</f>
        <v>0.92387959025938382</v>
      </c>
      <c r="I25" s="19">
        <f>M26*N25*O25-M25*N26*O26</f>
        <v>-0.38268329294882092</v>
      </c>
      <c r="J25" s="19">
        <f>M25*N26*O25+M26*N25*O26</f>
        <v>0</v>
      </c>
      <c r="K25" s="19">
        <f>M25*N25*O26-M26*N26*O25</f>
        <v>0</v>
      </c>
      <c r="L25" s="20" t="s">
        <v>34</v>
      </c>
      <c r="M25" s="1">
        <f>COS(-0.5*E26*PI()/180)</f>
        <v>0.92387959025938382</v>
      </c>
      <c r="N25" s="1">
        <f>COS(0.5*E25*PI()/180)</f>
        <v>1</v>
      </c>
      <c r="O25" s="1">
        <f>COS(0.5*E24*PI()/180)</f>
        <v>1</v>
      </c>
    </row>
    <row r="26" spans="1:19" s="45" customFormat="1" hidden="1" x14ac:dyDescent="0.2">
      <c r="A26" s="46"/>
      <c r="D26" s="51" t="s">
        <v>164</v>
      </c>
      <c r="E26" s="51">
        <f>-Q23</f>
        <v>44.999982707781115</v>
      </c>
      <c r="G26" s="1" t="s">
        <v>421</v>
      </c>
      <c r="H26" s="19">
        <f>H25*H23-I25*I23-J25*J23-K25*K23</f>
        <v>0.99889567042727156</v>
      </c>
      <c r="I26" s="19">
        <f>H25*I23+I25*H23+J25*K23-K25*J23</f>
        <v>7.6126319488684091E-4</v>
      </c>
      <c r="J26" s="19">
        <f>H25*J23-I25*K23+J25*H23+K25*I23</f>
        <v>1.7435946811400673E-2</v>
      </c>
      <c r="K26" s="19">
        <f>H25*K23+I25*J23-J25*I23+K25*H23</f>
        <v>4.3612343949735226E-2</v>
      </c>
      <c r="L26" s="20" t="s">
        <v>35</v>
      </c>
      <c r="M26" s="1">
        <f>SIN(-0.5*E26*PI()/180)</f>
        <v>-0.38268329294882092</v>
      </c>
      <c r="N26" s="1">
        <f>SIN(0.5*E25*PI()/180)</f>
        <v>0</v>
      </c>
      <c r="O26" s="1">
        <f>SIN(0.5*E24*PI()/180)</f>
        <v>0</v>
      </c>
    </row>
    <row r="27" spans="1:19" s="45" customFormat="1" hidden="1" x14ac:dyDescent="0.2">
      <c r="A27" s="46"/>
      <c r="E27" s="51"/>
      <c r="G27" s="1" t="s">
        <v>848</v>
      </c>
      <c r="H27" s="1">
        <f>J26</f>
        <v>1.7435946811400673E-2</v>
      </c>
      <c r="I27" s="1">
        <f>I26</f>
        <v>7.6126319488684091E-4</v>
      </c>
      <c r="J27" s="1">
        <f>K26</f>
        <v>4.3612343949735226E-2</v>
      </c>
      <c r="K27" s="1">
        <f>H26</f>
        <v>0.99889567042727156</v>
      </c>
      <c r="L27" s="20"/>
      <c r="M27" s="1"/>
      <c r="N27" s="1"/>
      <c r="O27" s="1"/>
    </row>
    <row r="28" spans="1:19" s="45" customFormat="1" hidden="1" x14ac:dyDescent="0.2">
      <c r="A28" s="46"/>
      <c r="E28" s="51"/>
      <c r="G28" s="1"/>
      <c r="H28" s="19" t="s">
        <v>36</v>
      </c>
      <c r="I28" s="19" t="s">
        <v>37</v>
      </c>
      <c r="J28" s="19" t="s">
        <v>38</v>
      </c>
      <c r="K28" s="19" t="s">
        <v>882</v>
      </c>
      <c r="L28" s="21" t="s">
        <v>881</v>
      </c>
      <c r="M28" s="53" t="s">
        <v>523</v>
      </c>
      <c r="N28" s="19"/>
      <c r="O28" s="19"/>
    </row>
    <row r="29" spans="1:19" s="45" customFormat="1" hidden="1" x14ac:dyDescent="0.2">
      <c r="A29" s="46"/>
      <c r="E29" s="51"/>
      <c r="G29" s="1" t="s">
        <v>39</v>
      </c>
      <c r="H29" s="19">
        <f>-2*H26*I26+2*J26*K26</f>
        <v>-4.5536491244391186E-18</v>
      </c>
      <c r="I29" s="19">
        <f>2*H26*J26+2*I26*K26</f>
        <v>3.4899784504000005E-2</v>
      </c>
      <c r="J29" s="19">
        <f>H26*H26-I26*I26-J26*J26+K26*K26</f>
        <v>0.99939000518027643</v>
      </c>
      <c r="K29" s="19">
        <f>IF(ABS(I29)&lt;0.99999,ATAN(I29/SQRT(H29*H29+J29*J29)),SIGN(I29)*1000)</f>
        <v>3.4906901348082511E-2</v>
      </c>
      <c r="L29" s="21">
        <f>IF(ABS(I29)&lt;0.99999,180/PI()*ATAN(I29/SQRT(H29*H29+J29*J29)),SIGN(I29)*90)</f>
        <v>2.0000181231246517</v>
      </c>
      <c r="M29" s="20">
        <f>IF(ABS(H29)&gt;0.00001,IF(H29&gt;0,90-180/PI()*ATAN(J29/H29),-90-180/PI()*ATAN(J29/H29)),-90-SIGN(J29)*90)</f>
        <v>-180</v>
      </c>
      <c r="N29" s="19"/>
      <c r="O29" s="19"/>
    </row>
    <row r="30" spans="1:19" s="45" customFormat="1" hidden="1" x14ac:dyDescent="0.2">
      <c r="A30" s="46"/>
      <c r="E30" s="51"/>
    </row>
    <row r="31" spans="1:19" s="45" customFormat="1" hidden="1" x14ac:dyDescent="0.2">
      <c r="A31" s="46"/>
      <c r="D31" s="51" t="s">
        <v>524</v>
      </c>
      <c r="E31" s="51">
        <v>0</v>
      </c>
      <c r="G31" s="1"/>
      <c r="H31" s="1" t="s">
        <v>860</v>
      </c>
      <c r="I31" s="1" t="s">
        <v>861</v>
      </c>
      <c r="J31" s="1" t="s">
        <v>862</v>
      </c>
      <c r="K31" s="1" t="s">
        <v>863</v>
      </c>
      <c r="L31" s="1"/>
      <c r="M31" s="1" t="s">
        <v>163</v>
      </c>
      <c r="N31" s="1" t="s">
        <v>526</v>
      </c>
      <c r="O31" s="1" t="s">
        <v>527</v>
      </c>
    </row>
    <row r="32" spans="1:19" s="45" customFormat="1" hidden="1" x14ac:dyDescent="0.2">
      <c r="A32" s="46"/>
      <c r="D32" s="51" t="s">
        <v>525</v>
      </c>
      <c r="E32" s="51">
        <f>-P23</f>
        <v>-2.0000181231246521</v>
      </c>
      <c r="G32" s="1" t="s">
        <v>864</v>
      </c>
      <c r="H32" s="19">
        <f>M32*N32*O32+M33*N33*O33</f>
        <v>0.99984769239620919</v>
      </c>
      <c r="I32" s="19">
        <f>M33*N32*O32-M32*N33*O33</f>
        <v>0</v>
      </c>
      <c r="J32" s="19">
        <f>M32*N33*O32+M33*N32*O33</f>
        <v>-1.7452564567293622E-2</v>
      </c>
      <c r="K32" s="19">
        <f>M32*N32*O33-M33*N33*O32</f>
        <v>0</v>
      </c>
      <c r="L32" s="20" t="s">
        <v>34</v>
      </c>
      <c r="M32" s="1">
        <f>COS(-0.5*E33*PI()/180)</f>
        <v>1</v>
      </c>
      <c r="N32" s="1">
        <f>COS(0.5*E32*PI()/180)</f>
        <v>0.99984769239620919</v>
      </c>
      <c r="O32" s="1">
        <f>COS(0.5*E31*PI()/180)</f>
        <v>1</v>
      </c>
    </row>
    <row r="33" spans="1:20" s="45" customFormat="1" hidden="1" x14ac:dyDescent="0.2">
      <c r="A33" s="46"/>
      <c r="D33" s="51" t="s">
        <v>164</v>
      </c>
      <c r="E33" s="51">
        <v>0</v>
      </c>
      <c r="G33" s="1" t="s">
        <v>351</v>
      </c>
      <c r="H33" s="19">
        <f>H32*H26-I32*I26-J32*J26-K32*K26</f>
        <v>0.99904783300878963</v>
      </c>
      <c r="I33" s="19">
        <f>H32*I26+I32*H26+J32*K26-K32*J26</f>
        <v>2.1684043449710089E-18</v>
      </c>
      <c r="J33" s="19">
        <f>H32*J26-I32*K26+J32*H26+K32*I26</f>
        <v>0</v>
      </c>
      <c r="K33" s="19">
        <f>H32*K26+I32*J26-J32*I26+K32*H26</f>
        <v>4.3618987453194008E-2</v>
      </c>
      <c r="L33" s="20" t="s">
        <v>35</v>
      </c>
      <c r="M33" s="1">
        <f>SIN(-0.5*E33*PI()/180)</f>
        <v>0</v>
      </c>
      <c r="N33" s="1">
        <f>SIN(0.5*E32*PI()/180)</f>
        <v>-1.7452564567293622E-2</v>
      </c>
      <c r="O33" s="1">
        <f>SIN(0.5*E31*PI()/180)</f>
        <v>0</v>
      </c>
    </row>
    <row r="34" spans="1:20" s="45" customFormat="1" hidden="1" x14ac:dyDescent="0.2">
      <c r="A34" s="46"/>
      <c r="G34" s="1" t="s">
        <v>848</v>
      </c>
      <c r="H34" s="1">
        <f>J33</f>
        <v>0</v>
      </c>
      <c r="I34" s="1">
        <f>I33</f>
        <v>2.1684043449710089E-18</v>
      </c>
      <c r="J34" s="1">
        <f>K33</f>
        <v>4.3618987453194008E-2</v>
      </c>
      <c r="K34" s="1">
        <f>H33</f>
        <v>0.99904783300878963</v>
      </c>
      <c r="L34" s="53" t="s">
        <v>529</v>
      </c>
      <c r="M34" s="1"/>
      <c r="N34" s="1"/>
      <c r="O34" s="1">
        <f>SIGN(I33+J33+K33+0.000001)</f>
        <v>1</v>
      </c>
    </row>
    <row r="35" spans="1:20" s="45" customFormat="1" hidden="1" x14ac:dyDescent="0.2">
      <c r="A35" s="46"/>
      <c r="G35" s="1"/>
      <c r="H35" s="19" t="s">
        <v>36</v>
      </c>
      <c r="I35" s="19" t="s">
        <v>37</v>
      </c>
      <c r="J35" s="19" t="s">
        <v>38</v>
      </c>
      <c r="K35" s="19" t="s">
        <v>882</v>
      </c>
      <c r="L35" s="19" t="s">
        <v>881</v>
      </c>
      <c r="M35" s="19" t="s">
        <v>1075</v>
      </c>
      <c r="N35" s="21" t="s">
        <v>528</v>
      </c>
      <c r="O35" s="19"/>
    </row>
    <row r="36" spans="1:20" s="45" customFormat="1" hidden="1" x14ac:dyDescent="0.2">
      <c r="A36" s="46"/>
      <c r="G36" s="1" t="s">
        <v>39</v>
      </c>
      <c r="H36" s="19">
        <f>-2*H33*I33+2*J33*K33</f>
        <v>-4.3326793238602606E-18</v>
      </c>
      <c r="I36" s="19">
        <f>2*H33*J33+2*I33*K33</f>
        <v>1.8916720383348361E-19</v>
      </c>
      <c r="J36" s="19">
        <f>H33*H33-I33*I33-J33*J33+K33*K33</f>
        <v>0.99999918870600035</v>
      </c>
      <c r="K36" s="19">
        <f>IF(ABS(I36)&lt;0.99999,ATAN(I36/SQRT(H36*H36+J36*J36)),SIGN(I36)*1000)</f>
        <v>1.8916735730382551E-19</v>
      </c>
      <c r="L36" s="19">
        <f>IF(ABS(I36)&lt;0.99999,180/PI()*ATAN(I36/SQRT(H36*H36+J36*J36)),SIGN(I36)*90)</f>
        <v>1.083849119515245E-17</v>
      </c>
      <c r="M36" s="19">
        <f>IF(ABS(H36)&gt;0.00001,IF(H36&gt;0,-90+180/PI()*ATAN(J36/H36),90+180/PI()*ATAN(J36/H36)),90-SIGN(J36)*90)</f>
        <v>0</v>
      </c>
      <c r="N36" s="21">
        <f>IF(ABS(H33)&lt;0.999999,O34*2*180/PI()*ACOS(H33),IF(H33&gt;0,0,180))</f>
        <v>5.0010207078729083</v>
      </c>
      <c r="O36" s="19"/>
      <c r="T36"/>
    </row>
    <row r="37" spans="1:20" s="45" customFormat="1" x14ac:dyDescent="0.2">
      <c r="A37" s="46"/>
      <c r="F37" s="61"/>
      <c r="G37" s="1"/>
      <c r="H37" s="19"/>
      <c r="I37" s="19"/>
      <c r="J37" s="19"/>
      <c r="K37" s="19"/>
      <c r="L37" s="19"/>
      <c r="M37" s="19"/>
      <c r="N37" s="21"/>
      <c r="O37" s="19"/>
      <c r="R37" s="61"/>
    </row>
    <row r="38" spans="1:20" x14ac:dyDescent="0.2">
      <c r="A38" t="s">
        <v>422</v>
      </c>
      <c r="D38" s="15"/>
      <c r="L38" s="19"/>
      <c r="M38" s="2"/>
      <c r="N38" s="2"/>
      <c r="O38" s="2"/>
      <c r="P38" s="2"/>
      <c r="Q38" s="2"/>
      <c r="R38" s="2"/>
      <c r="S38" s="2"/>
    </row>
    <row r="39" spans="1:20" x14ac:dyDescent="0.2">
      <c r="A39" s="2" t="s">
        <v>842</v>
      </c>
      <c r="B39" s="2"/>
      <c r="C39" s="2" t="s">
        <v>524</v>
      </c>
      <c r="D39" s="81">
        <f>N36</f>
        <v>5.0010207078729083</v>
      </c>
      <c r="E39" t="s">
        <v>1076</v>
      </c>
      <c r="L39" s="19"/>
      <c r="M39" s="2"/>
      <c r="N39" s="2"/>
      <c r="O39" s="2"/>
      <c r="P39" s="2"/>
      <c r="Q39" s="2"/>
      <c r="R39" s="2"/>
      <c r="S39" s="2"/>
    </row>
    <row r="40" spans="1:20" x14ac:dyDescent="0.2">
      <c r="A40" s="2" t="s">
        <v>849</v>
      </c>
      <c r="B40" s="2"/>
      <c r="C40" s="2" t="s">
        <v>525</v>
      </c>
      <c r="D40" s="81">
        <f>P23</f>
        <v>2.0000181231246521</v>
      </c>
      <c r="E40" t="s">
        <v>1076</v>
      </c>
      <c r="L40" s="19"/>
      <c r="M40" s="2"/>
      <c r="N40" s="2"/>
      <c r="O40" s="2"/>
      <c r="P40" s="2"/>
      <c r="Q40" s="2"/>
      <c r="R40" s="2"/>
      <c r="S40" s="2"/>
    </row>
    <row r="41" spans="1:20" x14ac:dyDescent="0.2">
      <c r="A41" s="2" t="s">
        <v>859</v>
      </c>
      <c r="B41" s="2"/>
      <c r="C41" s="2" t="s">
        <v>164</v>
      </c>
      <c r="D41" s="81">
        <f>Q23</f>
        <v>-44.999982707781115</v>
      </c>
      <c r="E41" t="s">
        <v>1076</v>
      </c>
      <c r="L41" s="19"/>
      <c r="M41" s="2"/>
      <c r="N41" s="2"/>
      <c r="O41" s="2"/>
      <c r="P41" s="2"/>
      <c r="Q41" s="2"/>
      <c r="R41" s="2"/>
      <c r="S41" s="2"/>
    </row>
    <row r="42" spans="1:20" x14ac:dyDescent="0.2">
      <c r="A42" s="2"/>
      <c r="B42" s="2"/>
      <c r="C42" s="2"/>
      <c r="D42" s="81"/>
      <c r="L42" s="19"/>
      <c r="M42" s="2"/>
      <c r="N42" s="2"/>
      <c r="O42" s="2"/>
      <c r="P42" s="2"/>
      <c r="Q42" s="2"/>
      <c r="R42" s="2"/>
      <c r="S42" s="2"/>
    </row>
    <row r="43" spans="1:20" x14ac:dyDescent="0.2">
      <c r="A43" s="82" t="s">
        <v>816</v>
      </c>
      <c r="B43" s="11"/>
      <c r="C43" s="11"/>
      <c r="D43" s="11"/>
      <c r="E43" s="11"/>
      <c r="F43" s="11"/>
      <c r="G43" s="10"/>
      <c r="R43" s="10"/>
    </row>
    <row r="44" spans="1:20" x14ac:dyDescent="0.2">
      <c r="B44" t="s">
        <v>1101</v>
      </c>
    </row>
    <row r="46" spans="1:20" x14ac:dyDescent="0.2">
      <c r="A46" s="82" t="s">
        <v>817</v>
      </c>
      <c r="B46" s="11"/>
      <c r="C46" s="11"/>
      <c r="D46" s="11"/>
      <c r="E46" s="11"/>
      <c r="F46" s="11"/>
      <c r="G46" s="11"/>
      <c r="H46" s="11"/>
      <c r="I46" s="11"/>
      <c r="R46" s="10"/>
      <c r="S46" s="10"/>
      <c r="T46" s="10"/>
    </row>
    <row r="47" spans="1:20" x14ac:dyDescent="0.2">
      <c r="B47" t="s">
        <v>613</v>
      </c>
    </row>
    <row r="49" spans="1:19" x14ac:dyDescent="0.2">
      <c r="A49" s="82" t="s">
        <v>818</v>
      </c>
      <c r="B49" s="11"/>
      <c r="C49" s="11"/>
      <c r="D49" s="11"/>
      <c r="E49" s="11"/>
      <c r="F49" s="10"/>
      <c r="L49" s="1"/>
      <c r="M49" s="1"/>
      <c r="N49" s="1"/>
    </row>
    <row r="50" spans="1:19" x14ac:dyDescent="0.2">
      <c r="A50" s="35"/>
      <c r="B50" t="s">
        <v>174</v>
      </c>
      <c r="H50" s="19" t="s">
        <v>937</v>
      </c>
      <c r="I50" s="19" t="s">
        <v>938</v>
      </c>
      <c r="J50" s="19" t="s">
        <v>939</v>
      </c>
      <c r="K50" s="19" t="s">
        <v>940</v>
      </c>
      <c r="L50" s="1"/>
      <c r="M50" s="1"/>
      <c r="N50" s="1"/>
      <c r="O50" s="34"/>
      <c r="P50" s="1"/>
      <c r="Q50" s="34"/>
      <c r="R50" s="34"/>
      <c r="S50" s="1"/>
    </row>
    <row r="51" spans="1:19" x14ac:dyDescent="0.2">
      <c r="A51" s="80" t="s">
        <v>610</v>
      </c>
      <c r="B51" s="67" t="s">
        <v>612</v>
      </c>
      <c r="C51" s="2"/>
      <c r="D51" s="2"/>
      <c r="E51" s="2"/>
      <c r="F51" s="59"/>
      <c r="G51" s="1" t="s">
        <v>936</v>
      </c>
      <c r="H51" s="19">
        <f>VALUE(MID(B51,1,H52-1))</f>
        <v>2.49378E-2</v>
      </c>
      <c r="I51" s="19">
        <f>VALUE(MID(B51,H52+1,I52-H52-1))</f>
        <v>0.303929</v>
      </c>
      <c r="J51" s="19">
        <f>VALUE(MID(B51,I52+1,J52-I52-1))</f>
        <v>7.9586499999999994E-3</v>
      </c>
      <c r="K51" s="19">
        <f>VALUE(MID(B51,J52+1,K52-J52))</f>
        <v>0.95233500000000004</v>
      </c>
      <c r="L51" s="1"/>
      <c r="M51" s="1"/>
      <c r="N51" s="1"/>
      <c r="O51" s="1" t="s">
        <v>90</v>
      </c>
      <c r="P51" s="1"/>
      <c r="Q51" s="1"/>
      <c r="R51" s="59"/>
      <c r="S51" s="1"/>
    </row>
    <row r="52" spans="1:19" hidden="1" x14ac:dyDescent="0.2">
      <c r="D52" s="15"/>
      <c r="H52" s="1">
        <f>SEARCH(" ",B51,1)</f>
        <v>10</v>
      </c>
      <c r="I52" s="1">
        <f>SEARCH(" ",B51,H52+1)</f>
        <v>19</v>
      </c>
      <c r="J52" s="1">
        <f>SEARCH(" ",B51,I52+1)</f>
        <v>30</v>
      </c>
      <c r="K52" s="1">
        <f>LEN(B51)</f>
        <v>38</v>
      </c>
      <c r="L52" s="19"/>
      <c r="M52" s="2"/>
      <c r="N52" s="2"/>
      <c r="O52" s="2"/>
      <c r="P52" s="2"/>
      <c r="Q52" s="2"/>
      <c r="R52" s="2"/>
      <c r="S52" s="2"/>
    </row>
    <row r="53" spans="1:19" hidden="1" x14ac:dyDescent="0.2">
      <c r="D53" s="15"/>
      <c r="G53" s="1" t="s">
        <v>941</v>
      </c>
      <c r="H53" s="1" t="s">
        <v>940</v>
      </c>
      <c r="I53" s="1" t="s">
        <v>938</v>
      </c>
      <c r="J53" s="1" t="s">
        <v>937</v>
      </c>
      <c r="K53" s="1" t="s">
        <v>939</v>
      </c>
      <c r="L53" s="19" t="s">
        <v>36</v>
      </c>
      <c r="M53" s="19" t="s">
        <v>37</v>
      </c>
      <c r="N53" s="19" t="s">
        <v>38</v>
      </c>
      <c r="O53" s="37" t="s">
        <v>882</v>
      </c>
      <c r="P53" s="4" t="s">
        <v>881</v>
      </c>
      <c r="Q53" s="4" t="s">
        <v>499</v>
      </c>
      <c r="R53" s="2"/>
      <c r="S53" s="2"/>
    </row>
    <row r="54" spans="1:19" hidden="1" x14ac:dyDescent="0.2">
      <c r="D54" s="15"/>
      <c r="H54" s="19">
        <f>K51</f>
        <v>0.95233500000000004</v>
      </c>
      <c r="I54" s="19">
        <f>I51</f>
        <v>0.303929</v>
      </c>
      <c r="J54" s="19">
        <f>H51</f>
        <v>2.49378E-2</v>
      </c>
      <c r="K54" s="19">
        <f>J51</f>
        <v>7.9586499999999994E-3</v>
      </c>
      <c r="L54" s="19">
        <f>-2*H54*I54+2*J54*K54</f>
        <v>-0.57848750598606014</v>
      </c>
      <c r="M54" s="19">
        <f>2*H54*J54+2*I54*K54</f>
        <v>5.2336008597699997E-2</v>
      </c>
      <c r="N54" s="19">
        <f>H54*H54-I54*I54-J54*J54+K54*K54</f>
        <v>0.81401056142498251</v>
      </c>
      <c r="O54" s="37">
        <f>IF(ABS(M54)&lt;0.99999,ATAN(M54/SQRT(L54*L54+N54*N54)),SIGN(M54)*1000)</f>
        <v>5.235992876823263E-2</v>
      </c>
      <c r="P54" s="4">
        <f>IF(ABS(M54)&lt;0.99999,180/PI()*ATAN(M54/SQRT(L54*L54+N54*N54)),SIGN(M54)*90)</f>
        <v>3.0000029340253529</v>
      </c>
      <c r="Q54" s="4">
        <f>IF(ABS(L54)&gt;0.00001,IF(L54&gt;0,90-180/PI()*ATAN(N54/L54),-90-180/PI()*ATAN(N54/L54)),-90+SIGN(N54)*90)</f>
        <v>-35.400014532325926</v>
      </c>
      <c r="R54" s="2"/>
      <c r="S54" s="2"/>
    </row>
    <row r="55" spans="1:19" s="45" customFormat="1" hidden="1" x14ac:dyDescent="0.2">
      <c r="A55" s="46"/>
      <c r="D55" s="51" t="s">
        <v>524</v>
      </c>
      <c r="E55" s="51">
        <v>0</v>
      </c>
      <c r="G55" s="1"/>
      <c r="H55" s="1" t="s">
        <v>860</v>
      </c>
      <c r="I55" s="1" t="s">
        <v>861</v>
      </c>
      <c r="J55" s="1" t="s">
        <v>862</v>
      </c>
      <c r="K55" s="1" t="s">
        <v>863</v>
      </c>
      <c r="L55" s="1"/>
      <c r="M55" s="1" t="s">
        <v>163</v>
      </c>
      <c r="N55" s="1" t="s">
        <v>526</v>
      </c>
      <c r="O55" s="1" t="s">
        <v>527</v>
      </c>
    </row>
    <row r="56" spans="1:19" s="45" customFormat="1" hidden="1" x14ac:dyDescent="0.2">
      <c r="A56" s="46"/>
      <c r="D56" s="51" t="s">
        <v>525</v>
      </c>
      <c r="E56" s="51">
        <v>0</v>
      </c>
      <c r="G56" s="1" t="s">
        <v>864</v>
      </c>
      <c r="H56" s="19">
        <f>M56*N56*O56+M57*N57*O57</f>
        <v>0.95266144269657171</v>
      </c>
      <c r="I56" s="19">
        <f>M57*N56*O56-M56*N57*O57</f>
        <v>-0.3040331817405571</v>
      </c>
      <c r="J56" s="19">
        <f>M56*N57*O56+M57*N56*O57</f>
        <v>0</v>
      </c>
      <c r="K56" s="19">
        <f>M56*N56*O57-M57*N57*O56</f>
        <v>0</v>
      </c>
      <c r="L56" s="20" t="s">
        <v>34</v>
      </c>
      <c r="M56" s="1">
        <f>COS(-0.5*E57*PI()/180)</f>
        <v>0.95266144269657171</v>
      </c>
      <c r="N56" s="1">
        <f>COS(0.5*E56*PI()/180)</f>
        <v>1</v>
      </c>
      <c r="O56" s="1">
        <f>COS(0.5*E55*PI()/180)</f>
        <v>1</v>
      </c>
    </row>
    <row r="57" spans="1:19" s="45" customFormat="1" hidden="1" x14ac:dyDescent="0.2">
      <c r="A57" s="46"/>
      <c r="D57" s="51" t="s">
        <v>164</v>
      </c>
      <c r="E57" s="51">
        <f>-Q54</f>
        <v>35.400014532325926</v>
      </c>
      <c r="G57" s="1" t="s">
        <v>421</v>
      </c>
      <c r="H57" s="19">
        <f>H56*H54-I56*I54-J56*J54-K56*K54</f>
        <v>0.99965733592366546</v>
      </c>
      <c r="I57" s="19">
        <f>H56*I54+I56*H54+J56*K54-K56*J54</f>
        <v>-5.1556708902111836E-10</v>
      </c>
      <c r="J57" s="19">
        <f>H56*J54-I56*K54+J56*H54+K56*I54</f>
        <v>2.6176974207538051E-2</v>
      </c>
      <c r="K57" s="19">
        <f>H56*K54+I56*J54-J56*I54+K56*H54</f>
        <v>-1.9688692594679869E-8</v>
      </c>
      <c r="L57" s="20" t="s">
        <v>35</v>
      </c>
      <c r="M57" s="1">
        <f>SIN(-0.5*E57*PI()/180)</f>
        <v>-0.3040331817405571</v>
      </c>
      <c r="N57" s="1">
        <f>SIN(0.5*E56*PI()/180)</f>
        <v>0</v>
      </c>
      <c r="O57" s="1">
        <f>SIN(0.5*E55*PI()/180)</f>
        <v>0</v>
      </c>
    </row>
    <row r="58" spans="1:19" s="45" customFormat="1" hidden="1" x14ac:dyDescent="0.2">
      <c r="A58" s="46"/>
      <c r="E58" s="51"/>
      <c r="G58" s="1" t="s">
        <v>848</v>
      </c>
      <c r="H58" s="1">
        <f>J57</f>
        <v>2.6176974207538051E-2</v>
      </c>
      <c r="I58" s="1">
        <f>I57</f>
        <v>-5.1556708902111836E-10</v>
      </c>
      <c r="J58" s="1">
        <f>K57</f>
        <v>-1.9688692594679869E-8</v>
      </c>
      <c r="K58" s="1">
        <f>H57</f>
        <v>0.99965733592366546</v>
      </c>
      <c r="L58" s="20"/>
      <c r="M58" s="1"/>
      <c r="N58" s="1"/>
      <c r="O58" s="1"/>
    </row>
    <row r="59" spans="1:19" s="45" customFormat="1" hidden="1" x14ac:dyDescent="0.2">
      <c r="A59" s="46"/>
      <c r="E59" s="51"/>
      <c r="G59" s="1"/>
      <c r="H59" s="19" t="s">
        <v>36</v>
      </c>
      <c r="I59" s="19" t="s">
        <v>37</v>
      </c>
      <c r="J59" s="19" t="s">
        <v>38</v>
      </c>
      <c r="K59" s="19" t="s">
        <v>882</v>
      </c>
      <c r="L59" s="21" t="s">
        <v>881</v>
      </c>
      <c r="M59" s="53" t="s">
        <v>523</v>
      </c>
      <c r="N59" s="19"/>
      <c r="O59" s="19"/>
    </row>
    <row r="60" spans="1:19" s="45" customFormat="1" hidden="1" x14ac:dyDescent="0.2">
      <c r="A60" s="46"/>
      <c r="E60" s="51"/>
      <c r="G60" s="1" t="s">
        <v>39</v>
      </c>
      <c r="H60" s="19">
        <f>-2*H57*I57+2*J57*K57</f>
        <v>4.8939380142331487E-17</v>
      </c>
      <c r="I60" s="19">
        <f>2*H57*J57+2*I57*K57</f>
        <v>5.2336008597700004E-2</v>
      </c>
      <c r="J60" s="19">
        <f>H57*H57-I57*I57-J57*J57+K57*K57</f>
        <v>0.99862955528733832</v>
      </c>
      <c r="K60" s="19">
        <f>IF(ABS(I60)&lt;0.99999,ATAN(I60/SQRT(H60*H60+J60*J60)),SIGN(I60)*1000)</f>
        <v>5.2359928768232637E-2</v>
      </c>
      <c r="L60" s="21">
        <f>IF(ABS(I60)&lt;0.99999,180/PI()*ATAN(I60/SQRT(H60*H60+J60*J60)),SIGN(I60)*90)</f>
        <v>3.0000029340253533</v>
      </c>
      <c r="M60" s="20">
        <f>IF(ABS(H60)&gt;0.00001,IF(H60&gt;0,90-180/PI()*ATAN(J60/H60),-90-180/PI()*ATAN(J60/H60)),-90-SIGN(J60)*90)</f>
        <v>-180</v>
      </c>
      <c r="N60" s="19"/>
      <c r="O60" s="19"/>
    </row>
    <row r="61" spans="1:19" s="45" customFormat="1" hidden="1" x14ac:dyDescent="0.2">
      <c r="A61" s="46"/>
      <c r="E61" s="51"/>
    </row>
    <row r="62" spans="1:19" s="45" customFormat="1" hidden="1" x14ac:dyDescent="0.2">
      <c r="A62" s="46"/>
      <c r="D62" s="51" t="s">
        <v>524</v>
      </c>
      <c r="E62" s="51">
        <v>0</v>
      </c>
      <c r="G62" s="1"/>
      <c r="H62" s="1" t="s">
        <v>860</v>
      </c>
      <c r="I62" s="1" t="s">
        <v>861</v>
      </c>
      <c r="J62" s="1" t="s">
        <v>862</v>
      </c>
      <c r="K62" s="1" t="s">
        <v>863</v>
      </c>
      <c r="L62" s="1"/>
      <c r="M62" s="1" t="s">
        <v>163</v>
      </c>
      <c r="N62" s="1" t="s">
        <v>526</v>
      </c>
      <c r="O62" s="1" t="s">
        <v>527</v>
      </c>
    </row>
    <row r="63" spans="1:19" s="45" customFormat="1" hidden="1" x14ac:dyDescent="0.2">
      <c r="A63" s="46"/>
      <c r="D63" s="51" t="s">
        <v>525</v>
      </c>
      <c r="E63" s="51">
        <f>-P54</f>
        <v>-3.0000029340253529</v>
      </c>
      <c r="G63" s="1" t="s">
        <v>864</v>
      </c>
      <c r="H63" s="19">
        <f>M63*N63*O63+M64*N64*O64</f>
        <v>0.99965732430531706</v>
      </c>
      <c r="I63" s="19">
        <f>M64*N63*O63-M63*N64*O64</f>
        <v>0</v>
      </c>
      <c r="J63" s="19">
        <f>M63*N64*O63+M64*N63*O64</f>
        <v>-2.6176973903300597E-2</v>
      </c>
      <c r="K63" s="19">
        <f>M63*N63*O64-M64*N64*O63</f>
        <v>0</v>
      </c>
      <c r="L63" s="20" t="s">
        <v>34</v>
      </c>
      <c r="M63" s="1">
        <f>COS(-0.5*E64*PI()/180)</f>
        <v>1</v>
      </c>
      <c r="N63" s="1">
        <f>COS(0.5*E63*PI()/180)</f>
        <v>0.99965732430531706</v>
      </c>
      <c r="O63" s="1">
        <f>COS(0.5*E62*PI()/180)</f>
        <v>1</v>
      </c>
    </row>
    <row r="64" spans="1:19" s="45" customFormat="1" hidden="1" x14ac:dyDescent="0.2">
      <c r="A64" s="46"/>
      <c r="D64" s="51" t="s">
        <v>164</v>
      </c>
      <c r="E64" s="51">
        <v>0</v>
      </c>
      <c r="G64" s="1" t="s">
        <v>351</v>
      </c>
      <c r="H64" s="19">
        <f>H63*H57-I63*I57-J63*J57-K63*K57</f>
        <v>1.0000000116223311</v>
      </c>
      <c r="I64" s="19">
        <f>H63*I57+I63*H57+J63*K57-K63*J57</f>
        <v>-2.4469689760973014E-17</v>
      </c>
      <c r="J64" s="19">
        <f>H63*J57-I63*K57+J63*H57+K63*I57</f>
        <v>-3.4694469519536142E-18</v>
      </c>
      <c r="K64" s="19">
        <f>H63*K57+I63*J57-J63*I57+K63*H57</f>
        <v>-1.9695441744502293E-8</v>
      </c>
      <c r="L64" s="20" t="s">
        <v>35</v>
      </c>
      <c r="M64" s="1">
        <f>SIN(-0.5*E64*PI()/180)</f>
        <v>0</v>
      </c>
      <c r="N64" s="1">
        <f>SIN(0.5*E63*PI()/180)</f>
        <v>-2.6176973903300597E-2</v>
      </c>
      <c r="O64" s="1">
        <f>SIN(0.5*E62*PI()/180)</f>
        <v>0</v>
      </c>
    </row>
    <row r="65" spans="1:20" s="45" customFormat="1" hidden="1" x14ac:dyDescent="0.2">
      <c r="A65" s="46"/>
      <c r="G65" s="1" t="s">
        <v>848</v>
      </c>
      <c r="H65" s="1">
        <f>J64</f>
        <v>-3.4694469519536142E-18</v>
      </c>
      <c r="I65" s="1">
        <f>I64</f>
        <v>-2.4469689760973014E-17</v>
      </c>
      <c r="J65" s="1">
        <f>K64</f>
        <v>-1.9695441744502293E-8</v>
      </c>
      <c r="K65" s="1">
        <f>H64</f>
        <v>1.0000000116223311</v>
      </c>
      <c r="L65" s="53" t="s">
        <v>529</v>
      </c>
      <c r="M65" s="1"/>
      <c r="N65" s="1"/>
      <c r="O65" s="1">
        <f>SIGN(I64+J64+K64+0.000001)</f>
        <v>1</v>
      </c>
    </row>
    <row r="66" spans="1:20" s="45" customFormat="1" hidden="1" x14ac:dyDescent="0.2">
      <c r="A66" s="46"/>
      <c r="G66" s="1"/>
      <c r="H66" s="19" t="s">
        <v>36</v>
      </c>
      <c r="I66" s="19" t="s">
        <v>37</v>
      </c>
      <c r="J66" s="19" t="s">
        <v>38</v>
      </c>
      <c r="K66" s="19" t="s">
        <v>882</v>
      </c>
      <c r="L66" s="19" t="s">
        <v>881</v>
      </c>
      <c r="M66" s="19" t="s">
        <v>1075</v>
      </c>
      <c r="N66" s="21" t="s">
        <v>528</v>
      </c>
      <c r="O66" s="19"/>
    </row>
    <row r="67" spans="1:20" s="45" customFormat="1" hidden="1" x14ac:dyDescent="0.2">
      <c r="A67" s="46"/>
      <c r="G67" s="1" t="s">
        <v>39</v>
      </c>
      <c r="H67" s="19">
        <f>-2*H64*I64+2*J64*K64</f>
        <v>4.8939380227400281E-17</v>
      </c>
      <c r="I67" s="19">
        <f>2*H64*J64+2*I64*K64</f>
        <v>-6.9388930206706522E-18</v>
      </c>
      <c r="J67" s="19">
        <f>H64*H64-I64*I64-J64*J64+K64*K64</f>
        <v>1.0000000232446629</v>
      </c>
      <c r="K67" s="19">
        <f>IF(ABS(I67)&lt;0.99999,ATAN(I67/SQRT(H67*H67+J67*J67)),SIGN(I67)*1000)</f>
        <v>-6.9388928593784274E-18</v>
      </c>
      <c r="L67" s="19">
        <f>IF(ABS(I67)&lt;0.99999,180/PI()*ATAN(I67/SQRT(H67*H67+J67*J67)),SIGN(I67)*90)</f>
        <v>-3.9756927533584772E-16</v>
      </c>
      <c r="M67" s="19">
        <f>IF(ABS(H67)&gt;0.00001,IF(H67&gt;0,-90+180/PI()*ATAN(J67/H67),90+180/PI()*ATAN(J67/H67)),90-SIGN(J67)*90)</f>
        <v>0</v>
      </c>
      <c r="N67" s="21">
        <f>IF(ABS(H64)&lt;0.999999,O65*2*180/PI()*ACOS(H64),IF(H64&gt;0,0,180))</f>
        <v>0</v>
      </c>
      <c r="O67" s="19"/>
      <c r="T67"/>
    </row>
    <row r="68" spans="1:20" s="45" customFormat="1" x14ac:dyDescent="0.2">
      <c r="A68" s="46"/>
      <c r="F68" s="61"/>
      <c r="G68" s="1"/>
      <c r="H68" s="19"/>
      <c r="I68" s="19"/>
      <c r="J68" s="19"/>
      <c r="K68" s="19"/>
      <c r="L68" s="19"/>
      <c r="M68" s="19"/>
      <c r="N68" s="21"/>
      <c r="O68" s="19"/>
      <c r="R68" s="61"/>
    </row>
    <row r="69" spans="1:20" x14ac:dyDescent="0.2">
      <c r="A69" t="s">
        <v>422</v>
      </c>
      <c r="D69" s="15"/>
      <c r="L69" s="19"/>
      <c r="M69" s="2"/>
      <c r="N69" s="2"/>
      <c r="O69" s="2"/>
      <c r="P69" s="2"/>
      <c r="Q69" s="2"/>
      <c r="R69" s="2"/>
      <c r="S69" s="2"/>
    </row>
    <row r="70" spans="1:20" x14ac:dyDescent="0.2">
      <c r="A70" s="2" t="s">
        <v>842</v>
      </c>
      <c r="B70" s="2"/>
      <c r="C70" s="2" t="s">
        <v>524</v>
      </c>
      <c r="D70" s="81">
        <f>N67</f>
        <v>0</v>
      </c>
      <c r="E70" t="s">
        <v>1076</v>
      </c>
      <c r="L70" s="19"/>
      <c r="M70" s="2"/>
      <c r="N70" s="2"/>
      <c r="O70" s="2"/>
      <c r="P70" s="2"/>
      <c r="Q70" s="2"/>
      <c r="R70" s="2"/>
      <c r="S70" s="2"/>
    </row>
    <row r="71" spans="1:20" x14ac:dyDescent="0.2">
      <c r="A71" s="2" t="s">
        <v>849</v>
      </c>
      <c r="B71" s="2"/>
      <c r="C71" s="2" t="s">
        <v>525</v>
      </c>
      <c r="D71" s="81">
        <f>P54</f>
        <v>3.0000029340253529</v>
      </c>
      <c r="E71" t="s">
        <v>1076</v>
      </c>
      <c r="L71" s="19"/>
      <c r="M71" s="2"/>
      <c r="N71" s="2"/>
      <c r="O71" s="2"/>
      <c r="P71" s="2"/>
      <c r="Q71" s="2"/>
      <c r="R71" s="2"/>
      <c r="S71" s="2"/>
    </row>
    <row r="72" spans="1:20" x14ac:dyDescent="0.2">
      <c r="A72" s="2" t="s">
        <v>859</v>
      </c>
      <c r="B72" s="2"/>
      <c r="C72" s="2" t="s">
        <v>164</v>
      </c>
      <c r="D72" s="81">
        <f>Q54</f>
        <v>-35.400014532325926</v>
      </c>
      <c r="E72" t="s">
        <v>1076</v>
      </c>
      <c r="L72" s="19"/>
      <c r="M72" s="2"/>
      <c r="N72" s="2"/>
      <c r="O72" s="2"/>
      <c r="P72" s="2"/>
      <c r="Q72" s="2"/>
      <c r="R72" s="2"/>
      <c r="S72" s="2"/>
    </row>
    <row r="73" spans="1:20" x14ac:dyDescent="0.2">
      <c r="A73" s="2"/>
      <c r="B73" s="2"/>
      <c r="C73" s="2"/>
      <c r="D73" s="81"/>
      <c r="F73" s="59"/>
      <c r="L73" s="19"/>
      <c r="M73" s="2"/>
      <c r="N73" s="2"/>
      <c r="O73" s="2"/>
      <c r="P73" s="2"/>
      <c r="Q73" s="2"/>
      <c r="R73" s="59"/>
      <c r="S73" s="2"/>
    </row>
    <row r="74" spans="1:20" hidden="1" x14ac:dyDescent="0.2">
      <c r="B74" s="3"/>
      <c r="E74" s="130">
        <f>D70</f>
        <v>0</v>
      </c>
      <c r="G74" s="1"/>
      <c r="H74" s="1" t="s">
        <v>844</v>
      </c>
      <c r="I74" s="1" t="s">
        <v>845</v>
      </c>
      <c r="J74" s="1" t="s">
        <v>846</v>
      </c>
      <c r="K74" s="1" t="s">
        <v>847</v>
      </c>
      <c r="L74" s="1"/>
      <c r="M74" s="1" t="s">
        <v>163</v>
      </c>
      <c r="N74" s="1" t="s">
        <v>526</v>
      </c>
      <c r="O74" s="1" t="s">
        <v>527</v>
      </c>
    </row>
    <row r="75" spans="1:20" hidden="1" x14ac:dyDescent="0.2">
      <c r="B75" s="3"/>
      <c r="E75" s="130">
        <f>D71</f>
        <v>3.0000029340253529</v>
      </c>
      <c r="G75" s="1" t="s">
        <v>856</v>
      </c>
      <c r="H75" s="19">
        <f>M75*N75*O75+M76*N76*O76</f>
        <v>0.92356299917898832</v>
      </c>
      <c r="I75" s="19">
        <f>M76*N75*O75-M75*N76*O76</f>
        <v>0.38255215668556614</v>
      </c>
      <c r="J75" s="19">
        <f>M75*N76*O75+M76*N75*O76</f>
        <v>2.418437192401194E-2</v>
      </c>
      <c r="K75" s="19">
        <f>M75*N75*O76-M76*N76*O75</f>
        <v>-1.0017490572750422E-2</v>
      </c>
      <c r="L75" s="20" t="s">
        <v>34</v>
      </c>
      <c r="M75" s="1">
        <f>COS(-0.5*E76*PI()/180)</f>
        <v>0.92387959025938382</v>
      </c>
      <c r="N75" s="1">
        <f>COS(0.5*E75*PI()/180)</f>
        <v>0.99965732430531706</v>
      </c>
      <c r="O75" s="1">
        <f>COS(0.5*E74*PI()/180)</f>
        <v>1</v>
      </c>
    </row>
    <row r="76" spans="1:20" hidden="1" x14ac:dyDescent="0.2">
      <c r="B76" s="3"/>
      <c r="E76" s="130">
        <f>D41</f>
        <v>-44.999982707781115</v>
      </c>
      <c r="G76" s="1" t="s">
        <v>857</v>
      </c>
      <c r="H76" s="1">
        <f>J75</f>
        <v>2.418437192401194E-2</v>
      </c>
      <c r="I76" s="1">
        <f>I75</f>
        <v>0.38255215668556614</v>
      </c>
      <c r="J76" s="1">
        <f>K75</f>
        <v>-1.0017490572750422E-2</v>
      </c>
      <c r="K76" s="1">
        <f>H75</f>
        <v>0.92356299917898832</v>
      </c>
      <c r="L76" s="20" t="s">
        <v>35</v>
      </c>
      <c r="M76" s="1">
        <f>SIN(-0.5*E76*PI()/180)</f>
        <v>0.38268329294882092</v>
      </c>
      <c r="N76" s="1">
        <f>SIN(0.5*E75*PI()/180)</f>
        <v>2.6176973903300597E-2</v>
      </c>
      <c r="O76" s="1">
        <f>SIN(0.5*E74*PI()/180)</f>
        <v>0</v>
      </c>
    </row>
    <row r="77" spans="1:20" x14ac:dyDescent="0.2">
      <c r="A77" s="56" t="s">
        <v>877</v>
      </c>
      <c r="B77" s="65" t="str">
        <f>CONCATENATE(TEXT(H76,"0.000000")," ",TEXT(I76,"0.000000")," ",TEXT(J76,"0.000000")," ",TEXT(K76,"0.000000"))</f>
        <v>0.024184 0.382552 -0.010017 0.923563</v>
      </c>
      <c r="D77" s="2"/>
      <c r="E77" s="2"/>
      <c r="F77" s="59"/>
      <c r="G77" s="13"/>
      <c r="H77" s="15"/>
      <c r="I77" s="2"/>
      <c r="J77" s="2"/>
      <c r="K77" s="2"/>
      <c r="R77" s="59"/>
    </row>
    <row r="78" spans="1:20" x14ac:dyDescent="0.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</row>
    <row r="79" spans="1:20" x14ac:dyDescent="0.2">
      <c r="A79" s="82" t="s">
        <v>811</v>
      </c>
      <c r="B79" s="10"/>
      <c r="C79" s="10"/>
      <c r="D79" s="10"/>
      <c r="E79" s="10"/>
      <c r="F79" s="10"/>
    </row>
    <row r="81" spans="1:20" x14ac:dyDescent="0.2">
      <c r="A81" s="82" t="s">
        <v>812</v>
      </c>
      <c r="B81" s="11"/>
      <c r="C81" s="11"/>
      <c r="D81" s="11"/>
      <c r="E81" s="11"/>
      <c r="F81" s="11"/>
      <c r="G81" s="11"/>
      <c r="H81" s="11"/>
      <c r="R81" s="10"/>
      <c r="S81" s="10"/>
      <c r="T81" s="10"/>
    </row>
    <row r="82" spans="1:20" s="28" customFormat="1" ht="13.5" thickBot="1" x14ac:dyDescent="0.25">
      <c r="A82" s="79"/>
    </row>
  </sheetData>
  <sheetProtection password="E795" sheet="1" objects="1" scenarios="1"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"/>
  <sheetViews>
    <sheetView workbookViewId="0">
      <selection activeCell="A2" sqref="A2"/>
    </sheetView>
  </sheetViews>
  <sheetFormatPr defaultRowHeight="12.75" x14ac:dyDescent="0.2"/>
  <cols>
    <col min="4" max="4" width="15.5703125" customWidth="1"/>
    <col min="7" max="17" width="0" hidden="1" customWidth="1"/>
  </cols>
  <sheetData>
    <row r="1" spans="1:20" s="5" customFormat="1" x14ac:dyDescent="0.2">
      <c r="A1" s="14" t="s">
        <v>824</v>
      </c>
      <c r="B1" s="14"/>
      <c r="C1" s="14"/>
      <c r="D1" s="14"/>
      <c r="E1" s="14"/>
      <c r="F1" s="14"/>
      <c r="G1" s="14"/>
      <c r="H1" s="14"/>
      <c r="I1" s="14"/>
    </row>
    <row r="3" spans="1:20" x14ac:dyDescent="0.2">
      <c r="A3" s="33" t="s">
        <v>825</v>
      </c>
    </row>
    <row r="4" spans="1:20" x14ac:dyDescent="0.2">
      <c r="A4" s="33"/>
      <c r="B4" t="s">
        <v>1103</v>
      </c>
    </row>
    <row r="5" spans="1:20" x14ac:dyDescent="0.2">
      <c r="A5" s="33"/>
      <c r="B5" t="s">
        <v>1104</v>
      </c>
    </row>
    <row r="6" spans="1:20" x14ac:dyDescent="0.2">
      <c r="A6" s="33"/>
    </row>
    <row r="7" spans="1:20" x14ac:dyDescent="0.2">
      <c r="A7" s="33"/>
      <c r="B7" t="s">
        <v>1305</v>
      </c>
    </row>
    <row r="8" spans="1:20" x14ac:dyDescent="0.2">
      <c r="A8" s="33"/>
      <c r="B8" t="s">
        <v>1306</v>
      </c>
    </row>
    <row r="10" spans="1:20" x14ac:dyDescent="0.2">
      <c r="A10" s="82" t="s">
        <v>615</v>
      </c>
      <c r="B10" s="11"/>
      <c r="C10" s="11"/>
      <c r="D10" s="11"/>
      <c r="E10" s="11"/>
      <c r="F10" s="11"/>
    </row>
    <row r="11" spans="1:20" x14ac:dyDescent="0.2">
      <c r="B11" t="s">
        <v>1101</v>
      </c>
    </row>
    <row r="13" spans="1:20" x14ac:dyDescent="0.2">
      <c r="A13" s="82" t="s">
        <v>616</v>
      </c>
      <c r="B13" s="11"/>
      <c r="C13" s="11"/>
      <c r="D13" s="11"/>
      <c r="E13" s="11"/>
      <c r="F13" s="11"/>
      <c r="G13" s="11"/>
      <c r="H13" s="11"/>
      <c r="I13" s="11"/>
      <c r="R13" s="10"/>
      <c r="S13" s="10"/>
      <c r="T13" s="10"/>
    </row>
    <row r="14" spans="1:20" x14ac:dyDescent="0.2">
      <c r="B14" t="s">
        <v>613</v>
      </c>
    </row>
    <row r="16" spans="1:20" x14ac:dyDescent="0.2">
      <c r="A16" s="82" t="s">
        <v>617</v>
      </c>
      <c r="B16" s="11"/>
      <c r="C16" s="11"/>
      <c r="D16" s="11"/>
      <c r="E16" s="11"/>
      <c r="L16" s="1"/>
      <c r="M16" s="1"/>
      <c r="N16" s="1"/>
    </row>
    <row r="17" spans="1:19" x14ac:dyDescent="0.2">
      <c r="A17" s="35"/>
      <c r="B17" t="s">
        <v>174</v>
      </c>
      <c r="H17" s="19"/>
      <c r="I17" s="19"/>
      <c r="J17" s="19"/>
      <c r="K17" s="19"/>
      <c r="L17" s="1"/>
      <c r="M17" s="1"/>
      <c r="N17" s="1"/>
      <c r="O17" s="34"/>
      <c r="P17" s="1"/>
      <c r="Q17" s="34"/>
      <c r="R17" s="34"/>
      <c r="S17" s="1"/>
    </row>
    <row r="18" spans="1:19" x14ac:dyDescent="0.2">
      <c r="A18" s="80" t="s">
        <v>610</v>
      </c>
      <c r="B18" s="67" t="s">
        <v>612</v>
      </c>
      <c r="C18" s="2"/>
      <c r="D18" s="2"/>
      <c r="E18" s="2"/>
      <c r="F18" s="59"/>
      <c r="G18" s="1" t="s">
        <v>936</v>
      </c>
      <c r="H18" s="19">
        <f>VALUE(MID(B18,1,H19-1))</f>
        <v>2.49378E-2</v>
      </c>
      <c r="I18" s="19">
        <f>VALUE(MID(B18,H19+1,I19-H19-1))</f>
        <v>0.303929</v>
      </c>
      <c r="J18" s="19">
        <f>VALUE(MID(B18,I19+1,J19-I19-1))</f>
        <v>7.9586499999999994E-3</v>
      </c>
      <c r="K18" s="19">
        <f>VALUE(MID(B18,J19+1,K19-J19))</f>
        <v>0.95233500000000004</v>
      </c>
      <c r="L18" s="1"/>
      <c r="M18" s="1"/>
      <c r="N18" s="1"/>
      <c r="O18" s="1"/>
      <c r="P18" s="1"/>
      <c r="Q18" s="1"/>
      <c r="R18" s="59"/>
      <c r="S18" s="1"/>
    </row>
    <row r="19" spans="1:19" hidden="1" x14ac:dyDescent="0.2">
      <c r="D19" s="15"/>
      <c r="H19" s="1">
        <f>SEARCH(" ",B18,1)</f>
        <v>10</v>
      </c>
      <c r="I19" s="1">
        <f>SEARCH(" ",B18,H19+1)</f>
        <v>19</v>
      </c>
      <c r="J19" s="1">
        <f>SEARCH(" ",B18,I19+1)</f>
        <v>30</v>
      </c>
      <c r="K19" s="1">
        <f>LEN(B18)</f>
        <v>38</v>
      </c>
      <c r="L19" s="19"/>
      <c r="M19" s="2"/>
      <c r="N19" s="2"/>
      <c r="O19" s="2"/>
      <c r="P19" s="2"/>
      <c r="Q19" s="2"/>
      <c r="R19" s="2"/>
      <c r="S19" s="2"/>
    </row>
    <row r="20" spans="1:19" hidden="1" x14ac:dyDescent="0.2">
      <c r="D20" s="15"/>
      <c r="G20" s="1" t="s">
        <v>941</v>
      </c>
      <c r="H20" s="1" t="s">
        <v>940</v>
      </c>
      <c r="I20" s="1" t="s">
        <v>938</v>
      </c>
      <c r="J20" s="1" t="s">
        <v>937</v>
      </c>
      <c r="K20" s="1" t="s">
        <v>939</v>
      </c>
      <c r="L20" s="19" t="s">
        <v>36</v>
      </c>
      <c r="M20" s="19" t="s">
        <v>37</v>
      </c>
      <c r="N20" s="19" t="s">
        <v>38</v>
      </c>
      <c r="O20" s="37" t="s">
        <v>882</v>
      </c>
      <c r="P20" s="4" t="s">
        <v>881</v>
      </c>
      <c r="Q20" s="4" t="s">
        <v>499</v>
      </c>
      <c r="R20" s="2"/>
      <c r="S20" s="2"/>
    </row>
    <row r="21" spans="1:19" hidden="1" x14ac:dyDescent="0.2">
      <c r="D21" s="15"/>
      <c r="H21" s="19">
        <f>K18</f>
        <v>0.95233500000000004</v>
      </c>
      <c r="I21" s="19">
        <f>I18</f>
        <v>0.303929</v>
      </c>
      <c r="J21" s="19">
        <f>H18</f>
        <v>2.49378E-2</v>
      </c>
      <c r="K21" s="19">
        <f>J18</f>
        <v>7.9586499999999994E-3</v>
      </c>
      <c r="L21" s="19">
        <f>-2*H21*I21+2*J21*K21</f>
        <v>-0.57848750598606014</v>
      </c>
      <c r="M21" s="19">
        <f>2*H21*J21+2*I21*K21</f>
        <v>5.2336008597699997E-2</v>
      </c>
      <c r="N21" s="19">
        <f>H21*H21-I21*I21-J21*J21+K21*K21</f>
        <v>0.81401056142498251</v>
      </c>
      <c r="O21" s="37">
        <f>IF(ABS(M21)&lt;0.99999,ATAN(M21/SQRT(L21*L21+N21*N21)),SIGN(M21)*1000)</f>
        <v>5.235992876823263E-2</v>
      </c>
      <c r="P21" s="4">
        <f>IF(ABS(M21)&lt;0.99999,180/PI()*ATAN(M21/SQRT(L21*L21+N21*N21)),SIGN(M21)*90)</f>
        <v>3.0000029340253529</v>
      </c>
      <c r="Q21" s="4">
        <f>IF(ABS(L21)&gt;0.00001,IF(L21&gt;0,90-180/PI()*ATAN(N21/L21),-90-180/PI()*ATAN(N21/L21)),-90+SIGN(N21)*90)</f>
        <v>-35.400014532325926</v>
      </c>
      <c r="R21" s="2"/>
      <c r="S21" s="2"/>
    </row>
    <row r="22" spans="1:19" s="45" customFormat="1" hidden="1" x14ac:dyDescent="0.2">
      <c r="A22" s="46"/>
      <c r="D22" s="51" t="s">
        <v>524</v>
      </c>
      <c r="E22" s="51">
        <v>0</v>
      </c>
      <c r="G22" s="1"/>
      <c r="H22" s="1" t="s">
        <v>860</v>
      </c>
      <c r="I22" s="1" t="s">
        <v>861</v>
      </c>
      <c r="J22" s="1" t="s">
        <v>862</v>
      </c>
      <c r="K22" s="1" t="s">
        <v>863</v>
      </c>
      <c r="L22" s="1"/>
      <c r="M22" s="1" t="s">
        <v>163</v>
      </c>
      <c r="N22" s="1" t="s">
        <v>526</v>
      </c>
      <c r="O22" s="1" t="s">
        <v>527</v>
      </c>
    </row>
    <row r="23" spans="1:19" s="45" customFormat="1" hidden="1" x14ac:dyDescent="0.2">
      <c r="A23" s="46"/>
      <c r="D23" s="51" t="s">
        <v>525</v>
      </c>
      <c r="E23" s="51">
        <v>0</v>
      </c>
      <c r="G23" s="1" t="s">
        <v>864</v>
      </c>
      <c r="H23" s="19">
        <f>M23*N23*O23+M24*N24*O24</f>
        <v>0.95266144269657171</v>
      </c>
      <c r="I23" s="19">
        <f>M24*N23*O23-M23*N24*O24</f>
        <v>-0.3040331817405571</v>
      </c>
      <c r="J23" s="19">
        <f>M23*N24*O23+M24*N23*O24</f>
        <v>0</v>
      </c>
      <c r="K23" s="19">
        <f>M23*N23*O24-M24*N24*O23</f>
        <v>0</v>
      </c>
      <c r="L23" s="20" t="s">
        <v>34</v>
      </c>
      <c r="M23" s="1">
        <f>COS(-0.5*E24*PI()/180)</f>
        <v>0.95266144269657171</v>
      </c>
      <c r="N23" s="1">
        <f>COS(0.5*E23*PI()/180)</f>
        <v>1</v>
      </c>
      <c r="O23" s="1">
        <f>COS(0.5*E22*PI()/180)</f>
        <v>1</v>
      </c>
    </row>
    <row r="24" spans="1:19" s="45" customFormat="1" hidden="1" x14ac:dyDescent="0.2">
      <c r="A24" s="46"/>
      <c r="D24" s="51" t="s">
        <v>164</v>
      </c>
      <c r="E24" s="51">
        <f>-Q21</f>
        <v>35.400014532325926</v>
      </c>
      <c r="G24" s="1" t="s">
        <v>421</v>
      </c>
      <c r="H24" s="19">
        <f>H23*H21-I23*I21-J23*J21-K23*K21</f>
        <v>0.99965733592366546</v>
      </c>
      <c r="I24" s="19">
        <f>H23*I21+I23*H21+J23*K21-K23*J21</f>
        <v>-5.1556708902111836E-10</v>
      </c>
      <c r="J24" s="19">
        <f>H23*J21-I23*K21+J23*H21+K23*I21</f>
        <v>2.6176974207538051E-2</v>
      </c>
      <c r="K24" s="19">
        <f>H23*K21+I23*J21-J23*I21+K23*H21</f>
        <v>-1.9688692594679869E-8</v>
      </c>
      <c r="L24" s="20" t="s">
        <v>35</v>
      </c>
      <c r="M24" s="1">
        <f>SIN(-0.5*E24*PI()/180)</f>
        <v>-0.3040331817405571</v>
      </c>
      <c r="N24" s="1">
        <f>SIN(0.5*E23*PI()/180)</f>
        <v>0</v>
      </c>
      <c r="O24" s="1">
        <f>SIN(0.5*E22*PI()/180)</f>
        <v>0</v>
      </c>
    </row>
    <row r="25" spans="1:19" s="45" customFormat="1" hidden="1" x14ac:dyDescent="0.2">
      <c r="A25" s="46"/>
      <c r="E25" s="51"/>
      <c r="G25" s="1" t="s">
        <v>848</v>
      </c>
      <c r="H25" s="1">
        <f>J24</f>
        <v>2.6176974207538051E-2</v>
      </c>
      <c r="I25" s="1">
        <f>I24</f>
        <v>-5.1556708902111836E-10</v>
      </c>
      <c r="J25" s="1">
        <f>K24</f>
        <v>-1.9688692594679869E-8</v>
      </c>
      <c r="K25" s="1">
        <f>H24</f>
        <v>0.99965733592366546</v>
      </c>
      <c r="L25" s="20"/>
      <c r="M25" s="1"/>
      <c r="N25" s="1"/>
      <c r="O25" s="1"/>
    </row>
    <row r="26" spans="1:19" s="45" customFormat="1" hidden="1" x14ac:dyDescent="0.2">
      <c r="A26" s="46"/>
      <c r="E26" s="51"/>
      <c r="G26" s="1"/>
      <c r="H26" s="19" t="s">
        <v>36</v>
      </c>
      <c r="I26" s="19" t="s">
        <v>37</v>
      </c>
      <c r="J26" s="19" t="s">
        <v>38</v>
      </c>
      <c r="K26" s="19" t="s">
        <v>882</v>
      </c>
      <c r="L26" s="21" t="s">
        <v>881</v>
      </c>
      <c r="M26" s="53" t="s">
        <v>523</v>
      </c>
      <c r="N26" s="19"/>
      <c r="O26" s="19"/>
    </row>
    <row r="27" spans="1:19" s="45" customFormat="1" hidden="1" x14ac:dyDescent="0.2">
      <c r="A27" s="46"/>
      <c r="E27" s="51"/>
      <c r="G27" s="1" t="s">
        <v>39</v>
      </c>
      <c r="H27" s="19">
        <f>-2*H24*I24+2*J24*K24</f>
        <v>4.8939380142331487E-17</v>
      </c>
      <c r="I27" s="19">
        <f>2*H24*J24+2*I24*K24</f>
        <v>5.2336008597700004E-2</v>
      </c>
      <c r="J27" s="19">
        <f>H24*H24-I24*I24-J24*J24+K24*K24</f>
        <v>0.99862955528733832</v>
      </c>
      <c r="K27" s="19">
        <f>IF(ABS(I27)&lt;0.99999,ATAN(I27/SQRT(H27*H27+J27*J27)),SIGN(I27)*1000)</f>
        <v>5.2359928768232637E-2</v>
      </c>
      <c r="L27" s="21">
        <f>IF(ABS(I27)&lt;0.99999,180/PI()*ATAN(I27/SQRT(H27*H27+J27*J27)),SIGN(I27)*90)</f>
        <v>3.0000029340253533</v>
      </c>
      <c r="M27" s="20">
        <f>IF(ABS(H27)&gt;0.00001,IF(H27&gt;0,90-180/PI()*ATAN(J27/H27),-90-180/PI()*ATAN(J27/H27)),-90+SIGN(J27)*90)</f>
        <v>0</v>
      </c>
      <c r="N27" s="19"/>
      <c r="O27" s="19"/>
    </row>
    <row r="28" spans="1:19" s="45" customFormat="1" hidden="1" x14ac:dyDescent="0.2">
      <c r="A28" s="46"/>
      <c r="E28" s="51"/>
    </row>
    <row r="29" spans="1:19" s="45" customFormat="1" hidden="1" x14ac:dyDescent="0.2">
      <c r="A29" s="46"/>
      <c r="D29" s="51" t="s">
        <v>524</v>
      </c>
      <c r="E29" s="51">
        <v>0</v>
      </c>
      <c r="G29" s="1"/>
      <c r="H29" s="1" t="s">
        <v>860</v>
      </c>
      <c r="I29" s="1" t="s">
        <v>861</v>
      </c>
      <c r="J29" s="1" t="s">
        <v>862</v>
      </c>
      <c r="K29" s="1" t="s">
        <v>863</v>
      </c>
      <c r="L29" s="1"/>
      <c r="M29" s="1" t="s">
        <v>163</v>
      </c>
      <c r="N29" s="1" t="s">
        <v>526</v>
      </c>
      <c r="O29" s="1" t="s">
        <v>527</v>
      </c>
    </row>
    <row r="30" spans="1:19" s="45" customFormat="1" hidden="1" x14ac:dyDescent="0.2">
      <c r="A30" s="46"/>
      <c r="D30" s="51" t="s">
        <v>525</v>
      </c>
      <c r="E30" s="51">
        <f>-P21</f>
        <v>-3.0000029340253529</v>
      </c>
      <c r="G30" s="1" t="s">
        <v>864</v>
      </c>
      <c r="H30" s="19">
        <f>M30*N30*O30+M31*N31*O31</f>
        <v>0.99965732430531706</v>
      </c>
      <c r="I30" s="19">
        <f>M31*N30*O30-M30*N31*O31</f>
        <v>0</v>
      </c>
      <c r="J30" s="19">
        <f>M30*N31*O30+M31*N30*O31</f>
        <v>-2.6176973903300597E-2</v>
      </c>
      <c r="K30" s="19">
        <f>M30*N30*O31-M31*N31*O30</f>
        <v>0</v>
      </c>
      <c r="L30" s="20" t="s">
        <v>34</v>
      </c>
      <c r="M30" s="1">
        <f>COS(-0.5*E31*PI()/180)</f>
        <v>1</v>
      </c>
      <c r="N30" s="1">
        <f>COS(0.5*E30*PI()/180)</f>
        <v>0.99965732430531706</v>
      </c>
      <c r="O30" s="1">
        <f>COS(0.5*E29*PI()/180)</f>
        <v>1</v>
      </c>
    </row>
    <row r="31" spans="1:19" s="45" customFormat="1" hidden="1" x14ac:dyDescent="0.2">
      <c r="A31" s="46"/>
      <c r="D31" s="51" t="s">
        <v>164</v>
      </c>
      <c r="E31" s="51">
        <v>0</v>
      </c>
      <c r="G31" s="1" t="s">
        <v>351</v>
      </c>
      <c r="H31" s="19">
        <f>H30*H24-I30*I24-J30*J24-K30*K24</f>
        <v>1.0000000116223311</v>
      </c>
      <c r="I31" s="19">
        <f>H30*I24+I30*H24+J30*K24-K30*J24</f>
        <v>-2.4469689760973014E-17</v>
      </c>
      <c r="J31" s="19">
        <f>H30*J24-I30*K24+J30*H24+K30*I24</f>
        <v>-3.4694469519536142E-18</v>
      </c>
      <c r="K31" s="19">
        <f>H30*K24+I30*J24-J30*I24+K30*H24</f>
        <v>-1.9695441744502293E-8</v>
      </c>
      <c r="L31" s="20" t="s">
        <v>35</v>
      </c>
      <c r="M31" s="1">
        <f>SIN(-0.5*E31*PI()/180)</f>
        <v>0</v>
      </c>
      <c r="N31" s="1">
        <f>SIN(0.5*E30*PI()/180)</f>
        <v>-2.6176973903300597E-2</v>
      </c>
      <c r="O31" s="1">
        <f>SIN(0.5*E29*PI()/180)</f>
        <v>0</v>
      </c>
    </row>
    <row r="32" spans="1:19" s="45" customFormat="1" hidden="1" x14ac:dyDescent="0.2">
      <c r="A32" s="46"/>
      <c r="G32" s="1" t="s">
        <v>848</v>
      </c>
      <c r="H32" s="1">
        <f>J31</f>
        <v>-3.4694469519536142E-18</v>
      </c>
      <c r="I32" s="1">
        <f>I31</f>
        <v>-2.4469689760973014E-17</v>
      </c>
      <c r="J32" s="1">
        <f>K31</f>
        <v>-1.9695441744502293E-8</v>
      </c>
      <c r="K32" s="1">
        <f>H31</f>
        <v>1.0000000116223311</v>
      </c>
      <c r="L32" s="53" t="s">
        <v>529</v>
      </c>
      <c r="M32" s="1"/>
      <c r="N32" s="1"/>
      <c r="O32" s="1">
        <f>SIGN(I31+J31+K31+0.000001)</f>
        <v>1</v>
      </c>
    </row>
    <row r="33" spans="1:20" s="45" customFormat="1" hidden="1" x14ac:dyDescent="0.2">
      <c r="A33" s="46"/>
      <c r="G33" s="1"/>
      <c r="H33" s="19" t="s">
        <v>36</v>
      </c>
      <c r="I33" s="19" t="s">
        <v>37</v>
      </c>
      <c r="J33" s="19" t="s">
        <v>38</v>
      </c>
      <c r="K33" s="19" t="s">
        <v>882</v>
      </c>
      <c r="L33" s="19" t="s">
        <v>881</v>
      </c>
      <c r="M33" s="19" t="s">
        <v>1075</v>
      </c>
      <c r="N33" s="21" t="s">
        <v>528</v>
      </c>
      <c r="O33" s="19"/>
    </row>
    <row r="34" spans="1:20" s="45" customFormat="1" hidden="1" x14ac:dyDescent="0.2">
      <c r="A34" s="46"/>
      <c r="G34" s="1" t="s">
        <v>39</v>
      </c>
      <c r="H34" s="19">
        <f>-2*H31*I31+2*J31*K31</f>
        <v>4.8939380227400281E-17</v>
      </c>
      <c r="I34" s="19">
        <f>2*H31*J31+2*I31*K31</f>
        <v>-6.9388930206706522E-18</v>
      </c>
      <c r="J34" s="19">
        <f>H31*H31-I31*I31-J31*J31+K31*K31</f>
        <v>1.0000000232446629</v>
      </c>
      <c r="K34" s="19">
        <f>IF(ABS(I34)&lt;0.99999,ATAN(I34/SQRT(H34*H34+J34*J34)),SIGN(I34)*1000)</f>
        <v>-6.9388928593784274E-18</v>
      </c>
      <c r="L34" s="19">
        <f>IF(ABS(I34)&lt;0.99999,180/PI()*ATAN(I34/SQRT(H34*H34+J34*J34)),SIGN(I34)*90)</f>
        <v>-3.9756927533584772E-16</v>
      </c>
      <c r="M34" s="19">
        <f>IF(ABS(H34)&gt;0.00001,IF(H34&gt;0,-90+180/PI()*ATAN(J34/H34),90+180/PI()*ATAN(J34/H34)),90-SIGN(J34)*90)</f>
        <v>0</v>
      </c>
      <c r="N34" s="21">
        <f>IF(ABS(H31)&lt;0.9999999,O32*2*180/PI()*ACOS(H31),IF(H31&gt;0,0,180))</f>
        <v>0</v>
      </c>
      <c r="O34" s="19"/>
      <c r="T34"/>
    </row>
    <row r="35" spans="1:20" s="45" customFormat="1" x14ac:dyDescent="0.2">
      <c r="A35" s="46"/>
      <c r="F35" s="61"/>
      <c r="G35" s="1"/>
      <c r="H35" s="19"/>
      <c r="I35" s="19"/>
      <c r="J35" s="19"/>
      <c r="K35" s="19"/>
      <c r="L35" s="19"/>
      <c r="M35" s="19"/>
      <c r="N35" s="21"/>
      <c r="O35" s="19"/>
      <c r="R35" s="61"/>
    </row>
    <row r="36" spans="1:20" x14ac:dyDescent="0.2">
      <c r="A36" t="s">
        <v>422</v>
      </c>
      <c r="D36" s="15"/>
      <c r="L36" s="19"/>
      <c r="M36" s="2"/>
      <c r="N36" s="2"/>
      <c r="O36" s="2"/>
      <c r="P36" s="2"/>
      <c r="Q36" s="2"/>
      <c r="R36" s="2"/>
      <c r="S36" s="2"/>
    </row>
    <row r="37" spans="1:20" x14ac:dyDescent="0.2">
      <c r="A37" s="2" t="s">
        <v>842</v>
      </c>
      <c r="B37" s="2"/>
      <c r="C37" s="2" t="s">
        <v>524</v>
      </c>
      <c r="D37" s="81">
        <f>N34</f>
        <v>0</v>
      </c>
      <c r="E37" t="s">
        <v>1076</v>
      </c>
      <c r="L37" s="19"/>
      <c r="M37" s="2"/>
      <c r="N37" s="2"/>
      <c r="O37" s="2"/>
      <c r="P37" s="2"/>
      <c r="Q37" s="2"/>
      <c r="R37" s="2"/>
      <c r="S37" s="2"/>
    </row>
    <row r="38" spans="1:20" x14ac:dyDescent="0.2">
      <c r="A38" s="2" t="s">
        <v>849</v>
      </c>
      <c r="B38" s="2"/>
      <c r="C38" s="2" t="s">
        <v>525</v>
      </c>
      <c r="D38" s="81">
        <f>P21</f>
        <v>3.0000029340253529</v>
      </c>
      <c r="E38" t="s">
        <v>1076</v>
      </c>
      <c r="L38" s="19"/>
      <c r="M38" s="2"/>
      <c r="N38" s="2"/>
      <c r="O38" s="2"/>
      <c r="P38" s="2"/>
      <c r="Q38" s="2"/>
      <c r="R38" s="2"/>
      <c r="S38" s="2"/>
    </row>
    <row r="39" spans="1:20" x14ac:dyDescent="0.2">
      <c r="A39" s="2" t="s">
        <v>859</v>
      </c>
      <c r="B39" s="2"/>
      <c r="C39" s="2" t="s">
        <v>164</v>
      </c>
      <c r="D39" s="81">
        <f>Q21</f>
        <v>-35.400014532325926</v>
      </c>
      <c r="E39" t="s">
        <v>1076</v>
      </c>
      <c r="L39" s="19"/>
      <c r="M39" s="2"/>
      <c r="N39" s="2"/>
      <c r="O39" s="2"/>
      <c r="P39" s="2"/>
      <c r="Q39" s="2"/>
      <c r="R39" s="2"/>
      <c r="S39" s="2"/>
    </row>
    <row r="40" spans="1:20" x14ac:dyDescent="0.2">
      <c r="A40" s="2"/>
      <c r="B40" s="2"/>
      <c r="C40" s="2"/>
      <c r="D40" s="81"/>
      <c r="L40" s="19"/>
      <c r="M40" s="2"/>
      <c r="N40" s="2"/>
      <c r="O40" s="2"/>
      <c r="P40" s="2"/>
      <c r="Q40" s="2"/>
      <c r="S40" s="2"/>
    </row>
    <row r="41" spans="1:20" x14ac:dyDescent="0.2">
      <c r="A41" s="82" t="s">
        <v>88</v>
      </c>
      <c r="B41" s="11"/>
      <c r="C41" s="11"/>
      <c r="D41" s="85"/>
      <c r="E41" s="11"/>
      <c r="F41" s="11"/>
      <c r="G41" s="11"/>
      <c r="H41" s="10"/>
      <c r="L41" s="19"/>
      <c r="M41" s="2"/>
      <c r="N41" s="2"/>
      <c r="O41" s="2"/>
      <c r="P41" s="2"/>
      <c r="Q41" s="2"/>
      <c r="R41" s="10"/>
      <c r="S41" s="10"/>
    </row>
    <row r="42" spans="1:20" s="28" customFormat="1" ht="13.5" thickBot="1" x14ac:dyDescent="0.25"/>
    <row r="43" spans="1:20" s="69" customFormat="1" x14ac:dyDescent="0.2">
      <c r="A43" s="68" t="s">
        <v>13</v>
      </c>
    </row>
    <row r="44" spans="1:20" s="45" customFormat="1" x14ac:dyDescent="0.2"/>
    <row r="45" spans="1:20" x14ac:dyDescent="0.2">
      <c r="A45" s="25" t="s">
        <v>1308</v>
      </c>
      <c r="B45" s="23"/>
      <c r="C45" s="23"/>
      <c r="G45" s="1"/>
    </row>
    <row r="46" spans="1:20" x14ac:dyDescent="0.2">
      <c r="B46" s="3" t="s">
        <v>458</v>
      </c>
      <c r="E46" s="1">
        <f>L27</f>
        <v>3.0000029340253533</v>
      </c>
      <c r="G46" s="1"/>
      <c r="H46" s="1" t="s">
        <v>844</v>
      </c>
      <c r="I46" s="1" t="s">
        <v>845</v>
      </c>
      <c r="J46" s="1" t="s">
        <v>846</v>
      </c>
      <c r="K46" s="1" t="s">
        <v>847</v>
      </c>
      <c r="L46" s="1"/>
      <c r="M46" s="1" t="s">
        <v>163</v>
      </c>
      <c r="N46" s="1" t="s">
        <v>526</v>
      </c>
      <c r="O46" s="1" t="s">
        <v>527</v>
      </c>
    </row>
    <row r="47" spans="1:20" x14ac:dyDescent="0.2">
      <c r="B47" s="3" t="s">
        <v>742</v>
      </c>
      <c r="E47" s="1">
        <v>0</v>
      </c>
      <c r="G47" s="1" t="s">
        <v>856</v>
      </c>
      <c r="H47" s="19">
        <f>M47*N47*O47+M48*N48*O48</f>
        <v>0.99965732430531706</v>
      </c>
      <c r="I47" s="19">
        <f>M48*N47*O47-M47*N48*O48</f>
        <v>0</v>
      </c>
      <c r="J47" s="19">
        <f>M47*N48*O47+M48*N47*O48</f>
        <v>0</v>
      </c>
      <c r="K47" s="19">
        <f>M47*N47*O48-M48*N48*O47</f>
        <v>2.61769739033006E-2</v>
      </c>
      <c r="L47" s="20" t="s">
        <v>34</v>
      </c>
      <c r="M47" s="1">
        <f>COS(-0.5*E48*PI()/180)</f>
        <v>1</v>
      </c>
      <c r="N47" s="1">
        <f>COS(0.5*E47*PI()/180)</f>
        <v>1</v>
      </c>
      <c r="O47" s="1">
        <f>COS(0.5*E46*PI()/180)</f>
        <v>0.99965732430531706</v>
      </c>
    </row>
    <row r="48" spans="1:20" x14ac:dyDescent="0.2">
      <c r="B48" s="3" t="s">
        <v>530</v>
      </c>
      <c r="E48" s="1">
        <v>0</v>
      </c>
      <c r="F48" s="59"/>
      <c r="G48" s="1" t="s">
        <v>857</v>
      </c>
      <c r="H48" s="1">
        <f>J47</f>
        <v>0</v>
      </c>
      <c r="I48" s="1">
        <f>I47</f>
        <v>0</v>
      </c>
      <c r="J48" s="1">
        <f>K47</f>
        <v>2.61769739033006E-2</v>
      </c>
      <c r="K48" s="1">
        <f>H47</f>
        <v>0.99965732430531706</v>
      </c>
      <c r="L48" s="20" t="s">
        <v>35</v>
      </c>
      <c r="M48" s="1">
        <f>SIN(-0.5*E48*PI()/180)</f>
        <v>0</v>
      </c>
      <c r="N48" s="1">
        <f>SIN(0.5*E47*PI()/180)</f>
        <v>0</v>
      </c>
      <c r="O48" s="1">
        <f>SIN(0.5*E46*PI()/180)</f>
        <v>2.61769739033006E-2</v>
      </c>
      <c r="R48" s="59"/>
    </row>
    <row r="49" spans="2:15" hidden="1" x14ac:dyDescent="0.2">
      <c r="B49" s="3"/>
      <c r="E49" s="1"/>
      <c r="G49" s="1"/>
      <c r="H49" s="19" t="s">
        <v>36</v>
      </c>
      <c r="I49" s="19" t="s">
        <v>37</v>
      </c>
      <c r="J49" s="19" t="s">
        <v>38</v>
      </c>
      <c r="K49" s="19" t="s">
        <v>882</v>
      </c>
      <c r="L49" s="19" t="s">
        <v>881</v>
      </c>
      <c r="M49" s="19" t="s">
        <v>523</v>
      </c>
      <c r="N49" s="19"/>
      <c r="O49" s="19"/>
    </row>
    <row r="50" spans="2:15" hidden="1" x14ac:dyDescent="0.2">
      <c r="E50" s="1"/>
      <c r="G50" s="1" t="s">
        <v>39</v>
      </c>
      <c r="H50" s="19">
        <f>-2*H47*I47+2*J47*K47</f>
        <v>0</v>
      </c>
      <c r="I50" s="19">
        <f>2*H47*J47+2*I47*K47</f>
        <v>0</v>
      </c>
      <c r="J50" s="19">
        <f>H47*H47-I47*I47-J47*J47+K47*K47</f>
        <v>1</v>
      </c>
      <c r="K50" s="19">
        <f>IF(ABS(I50)&lt;0.99999,ATAN(I50/SQRT(H50*H50+J50*J50)),SIGN(I50)*1000)</f>
        <v>0</v>
      </c>
      <c r="L50" s="19">
        <f>IF(ABS(I50)&lt;0.99999,180/PI()*ATAN(I50/SQRT(H50*H50+J50*J50)),SIGN(I50)*90)</f>
        <v>0</v>
      </c>
      <c r="M50" s="19">
        <f>IF(ABS(H50)&gt;0.00001,IF(H50&gt;0,90-180/PI()*ATAN(J50/H50),-90-180/PI()*ATAN(J50/H50)),-90+SIGN(J50)*90)</f>
        <v>0</v>
      </c>
      <c r="N50" s="19"/>
      <c r="O50" s="19"/>
    </row>
    <row r="51" spans="2:15" hidden="1" x14ac:dyDescent="0.2">
      <c r="E51" s="1"/>
      <c r="G51" s="1"/>
      <c r="H51" s="1"/>
      <c r="I51" s="1"/>
      <c r="J51" s="1"/>
      <c r="K51" s="1"/>
      <c r="L51" s="1"/>
      <c r="M51" s="1"/>
      <c r="N51" s="1"/>
      <c r="O51" s="1"/>
    </row>
    <row r="52" spans="2:15" hidden="1" x14ac:dyDescent="0.2">
      <c r="E52" s="1">
        <v>0</v>
      </c>
      <c r="G52" s="1"/>
      <c r="H52" s="1" t="s">
        <v>850</v>
      </c>
      <c r="I52" s="1" t="s">
        <v>851</v>
      </c>
      <c r="J52" s="1" t="s">
        <v>852</v>
      </c>
      <c r="K52" s="1" t="s">
        <v>853</v>
      </c>
      <c r="L52" s="1"/>
      <c r="M52" s="1" t="s">
        <v>163</v>
      </c>
      <c r="N52" s="1" t="s">
        <v>526</v>
      </c>
      <c r="O52" s="1" t="s">
        <v>527</v>
      </c>
    </row>
    <row r="53" spans="2:15" hidden="1" x14ac:dyDescent="0.2">
      <c r="E53" s="1">
        <v>0</v>
      </c>
      <c r="G53" s="1" t="s">
        <v>855</v>
      </c>
      <c r="H53" s="19">
        <f>M53*N53*O53+M54*N54*O54</f>
        <v>1</v>
      </c>
      <c r="I53" s="19">
        <f>M54*N53*O53-M53*N54*O54</f>
        <v>0</v>
      </c>
      <c r="J53" s="19">
        <f>M53*N54*O53+M54*N53*O54</f>
        <v>0</v>
      </c>
      <c r="K53" s="19">
        <f>M53*N53*O54-M54*N54*O53</f>
        <v>0</v>
      </c>
      <c r="L53" s="20" t="s">
        <v>34</v>
      </c>
      <c r="M53" s="1">
        <f>COS(-0.5*E54*PI()/180)</f>
        <v>1</v>
      </c>
      <c r="N53" s="1">
        <f>COS(0.5*E53*PI()/180)</f>
        <v>1</v>
      </c>
      <c r="O53" s="1">
        <f>COS(0.5*E52*PI()/180)</f>
        <v>1</v>
      </c>
    </row>
    <row r="54" spans="2:15" hidden="1" x14ac:dyDescent="0.2">
      <c r="E54" s="1">
        <v>0</v>
      </c>
      <c r="G54" s="1" t="s">
        <v>854</v>
      </c>
      <c r="H54" s="19">
        <f>H53*H47-I53*I47-J53*J47-K53*K47</f>
        <v>0.99965732430531706</v>
      </c>
      <c r="I54" s="19">
        <f>H53*I47+I53*H47+J53*K47-K53*J47</f>
        <v>0</v>
      </c>
      <c r="J54" s="19">
        <f>H53*J47-I53*K47+J53*H47+K53*I47</f>
        <v>0</v>
      </c>
      <c r="K54" s="19">
        <f>H53*K47+I53*J47-J53*I47+K53*H47</f>
        <v>2.61769739033006E-2</v>
      </c>
      <c r="L54" s="20" t="s">
        <v>35</v>
      </c>
      <c r="M54" s="1">
        <f>SIN(-0.5*E54*PI()/180)</f>
        <v>0</v>
      </c>
      <c r="N54" s="1">
        <f>SIN(0.5*E53*PI()/180)</f>
        <v>0</v>
      </c>
      <c r="O54" s="1">
        <f>SIN(0.5*E52*PI()/180)</f>
        <v>0</v>
      </c>
    </row>
    <row r="55" spans="2:15" hidden="1" x14ac:dyDescent="0.2">
      <c r="E55" s="1"/>
      <c r="G55" s="1" t="s">
        <v>848</v>
      </c>
      <c r="H55" s="1">
        <f>J54</f>
        <v>0</v>
      </c>
      <c r="I55" s="1">
        <f>I54</f>
        <v>0</v>
      </c>
      <c r="J55" s="1">
        <f>K54</f>
        <v>2.61769739033006E-2</v>
      </c>
      <c r="K55" s="1">
        <f>H54</f>
        <v>0.99965732430531706</v>
      </c>
      <c r="L55" s="20"/>
      <c r="M55" s="1"/>
      <c r="N55" s="1"/>
      <c r="O55" s="1"/>
    </row>
    <row r="56" spans="2:15" hidden="1" x14ac:dyDescent="0.2">
      <c r="E56" s="1"/>
      <c r="G56" s="1"/>
      <c r="H56" s="19" t="s">
        <v>36</v>
      </c>
      <c r="I56" s="19" t="s">
        <v>37</v>
      </c>
      <c r="J56" s="19" t="s">
        <v>38</v>
      </c>
      <c r="K56" s="19" t="s">
        <v>882</v>
      </c>
      <c r="L56" s="19" t="s">
        <v>881</v>
      </c>
      <c r="M56" s="19" t="s">
        <v>523</v>
      </c>
      <c r="N56" s="19"/>
      <c r="O56" s="19"/>
    </row>
    <row r="57" spans="2:15" hidden="1" x14ac:dyDescent="0.2">
      <c r="E57" s="1"/>
      <c r="G57" s="1" t="s">
        <v>39</v>
      </c>
      <c r="H57" s="19">
        <f>-2*H54*I54+2*J54*K54</f>
        <v>0</v>
      </c>
      <c r="I57" s="19">
        <f>2*H54*J54+2*I54*K54</f>
        <v>0</v>
      </c>
      <c r="J57" s="19">
        <f>H54*H54-I54*I54-J54*J54+K54*K54</f>
        <v>1</v>
      </c>
      <c r="K57" s="19">
        <f>IF(ABS(I57)&lt;0.99999,ATAN(I57/SQRT(H57*H57+J57*J57)),SIGN(I57)*1000)</f>
        <v>0</v>
      </c>
      <c r="L57" s="19">
        <f>IF(ABS(I57)&lt;0.99999,180/PI()*ATAN(I57/SQRT(H57*H57+J57*J57)),SIGN(I57)*90)</f>
        <v>0</v>
      </c>
      <c r="M57" s="19">
        <f>IF(ABS(H57)&gt;0.00001,IF(H57&gt;0,90-180/PI()*ATAN(J57/H57),-90-180/PI()*ATAN(J57/H57)),-90+SIGN(J57)*90)</f>
        <v>0</v>
      </c>
      <c r="N57" s="19"/>
      <c r="O57" s="19"/>
    </row>
    <row r="58" spans="2:15" hidden="1" x14ac:dyDescent="0.2">
      <c r="E58" s="1"/>
      <c r="G58" s="1"/>
      <c r="H58" s="1"/>
      <c r="I58" s="1"/>
      <c r="J58" s="1"/>
      <c r="K58" s="1"/>
      <c r="L58" s="1"/>
      <c r="M58" s="1"/>
      <c r="N58" s="1"/>
      <c r="O58" s="1"/>
    </row>
    <row r="59" spans="2:15" hidden="1" x14ac:dyDescent="0.2">
      <c r="E59" s="1">
        <v>0</v>
      </c>
      <c r="G59" s="1"/>
      <c r="H59" s="1" t="s">
        <v>860</v>
      </c>
      <c r="I59" s="1" t="s">
        <v>861</v>
      </c>
      <c r="J59" s="1" t="s">
        <v>862</v>
      </c>
      <c r="K59" s="1" t="s">
        <v>863</v>
      </c>
      <c r="L59" s="1"/>
      <c r="M59" s="1" t="s">
        <v>163</v>
      </c>
      <c r="N59" s="1" t="s">
        <v>526</v>
      </c>
      <c r="O59" s="1" t="s">
        <v>527</v>
      </c>
    </row>
    <row r="60" spans="2:15" hidden="1" x14ac:dyDescent="0.2">
      <c r="E60" s="1">
        <v>0</v>
      </c>
      <c r="G60" s="1" t="s">
        <v>864</v>
      </c>
      <c r="H60" s="19">
        <f>M60*N60*O60+M61*N61*O61</f>
        <v>0.88861729082017538</v>
      </c>
      <c r="I60" s="19">
        <f>M61*N60*O60-M60*N61*O61</f>
        <v>-0.4586494417912354</v>
      </c>
      <c r="J60" s="19">
        <f>M60*N61*O60+M61*N60*O61</f>
        <v>0</v>
      </c>
      <c r="K60" s="19">
        <f>M60*N60*O61-M61*N61*O60</f>
        <v>0</v>
      </c>
      <c r="L60" s="20" t="s">
        <v>34</v>
      </c>
      <c r="M60" s="1">
        <f>COS(-0.5*E61*PI()/180)</f>
        <v>0.88861729082017538</v>
      </c>
      <c r="N60" s="1">
        <f>COS(0.5*E60*PI()/180)</f>
        <v>1</v>
      </c>
      <c r="O60" s="1">
        <f>COS(0.5*E59*PI()/180)</f>
        <v>1</v>
      </c>
    </row>
    <row r="61" spans="2:15" hidden="1" x14ac:dyDescent="0.2">
      <c r="E61" s="1">
        <f>Q21+90</f>
        <v>54.599985467674074</v>
      </c>
      <c r="G61" s="1" t="s">
        <v>865</v>
      </c>
      <c r="H61" s="19">
        <f>H60*H54-I60*I54-J60*J54-K60*K54</f>
        <v>0.88831278327273633</v>
      </c>
      <c r="I61" s="19">
        <f>H60*I54+I60*H54+J60*K54-K60*J54</f>
        <v>-0.45849227377515367</v>
      </c>
      <c r="J61" s="19">
        <f>H60*J54-I60*K54+J60*H54+K60*I54</f>
        <v>1.2006054468532557E-2</v>
      </c>
      <c r="K61" s="19">
        <f>H60*K54+I60*J54-J60*I54+K60*H54</f>
        <v>2.3261311631821411E-2</v>
      </c>
      <c r="L61" s="20" t="s">
        <v>35</v>
      </c>
      <c r="M61" s="1">
        <f>SIN(-0.5*E61*PI()/180)</f>
        <v>-0.4586494417912354</v>
      </c>
      <c r="N61" s="1">
        <f>SIN(0.5*E60*PI()/180)</f>
        <v>0</v>
      </c>
      <c r="O61" s="1">
        <f>SIN(0.5*E59*PI()/180)</f>
        <v>0</v>
      </c>
    </row>
    <row r="62" spans="2:15" hidden="1" x14ac:dyDescent="0.2">
      <c r="G62" s="1" t="s">
        <v>848</v>
      </c>
      <c r="H62" s="1">
        <f>J61</f>
        <v>1.2006054468532557E-2</v>
      </c>
      <c r="I62" s="1">
        <f>I61</f>
        <v>-0.45849227377515367</v>
      </c>
      <c r="J62" s="1">
        <f>K61</f>
        <v>2.3261311631821411E-2</v>
      </c>
      <c r="K62" s="1">
        <f>H61</f>
        <v>0.88831278327273633</v>
      </c>
      <c r="L62" s="20"/>
      <c r="M62" s="1"/>
      <c r="N62" s="1"/>
      <c r="O62" s="1"/>
    </row>
    <row r="63" spans="2:15" hidden="1" x14ac:dyDescent="0.2">
      <c r="G63" s="1"/>
      <c r="H63" s="19" t="s">
        <v>36</v>
      </c>
      <c r="I63" s="19" t="s">
        <v>37</v>
      </c>
      <c r="J63" s="19" t="s">
        <v>38</v>
      </c>
      <c r="K63" s="19" t="s">
        <v>882</v>
      </c>
      <c r="L63" s="19" t="s">
        <v>881</v>
      </c>
      <c r="M63" s="19" t="s">
        <v>523</v>
      </c>
      <c r="N63" s="19"/>
      <c r="O63" s="19"/>
    </row>
    <row r="64" spans="2:15" hidden="1" x14ac:dyDescent="0.2">
      <c r="G64" s="1" t="s">
        <v>39</v>
      </c>
      <c r="H64" s="19">
        <f>-2*H61*I61+2*J61*K61</f>
        <v>0.81512764880142663</v>
      </c>
      <c r="I64" s="19">
        <f>2*H61*J61+2*I61*K61</f>
        <v>0</v>
      </c>
      <c r="J64" s="19">
        <f>H61*H61-I61*I61-J61*J61+K61*K61</f>
        <v>0.57928137908917621</v>
      </c>
      <c r="K64" s="19">
        <f>IF(ABS(I64)&lt;0.99999,ATAN(I64/SQRT(H64*H64+J64*J64)),SIGN(I64)*1000)</f>
        <v>0</v>
      </c>
      <c r="L64" s="19">
        <f>IF(ABS(I64)&lt;0.99999,180/PI()*ATAN(I64/SQRT(H64*H64+J64*J64)),SIGN(I64)*90)</f>
        <v>0</v>
      </c>
      <c r="M64" s="19">
        <f>IF(ABS(H64)&gt;0.00001,IF(H64&gt;0,90-180/PI()*ATAN(J64/H64),-90-180/PI()*ATAN(J64/H64)),-90+SIGN(J64)*90)</f>
        <v>54.599985467674074</v>
      </c>
      <c r="N64" s="19"/>
      <c r="O64" s="19"/>
    </row>
    <row r="65" spans="1:18" x14ac:dyDescent="0.2">
      <c r="A65" s="56" t="s">
        <v>877</v>
      </c>
      <c r="B65" s="65" t="str">
        <f>CONCATENATE(TEXT(H62,"0.000000")," ",TEXT(I62,"0.000000")," ",TEXT(J62,"0.000000")," ",TEXT(K62,"0.000000"))</f>
        <v>0.012006 -0.458492 0.023261 0.888313</v>
      </c>
      <c r="D65" s="2"/>
      <c r="E65" s="2"/>
      <c r="F65" s="59"/>
      <c r="G65" s="13"/>
      <c r="H65" s="15"/>
      <c r="I65" s="2"/>
      <c r="J65" s="2"/>
      <c r="K65" s="2"/>
      <c r="R65" s="59"/>
    </row>
    <row r="66" spans="1:18" s="28" customFormat="1" ht="13.5" thickBot="1" x14ac:dyDescent="0.25"/>
    <row r="67" spans="1:18" x14ac:dyDescent="0.2">
      <c r="A67" s="25" t="s">
        <v>1309</v>
      </c>
      <c r="B67" s="23"/>
      <c r="C67" s="23"/>
      <c r="G67" s="1"/>
    </row>
    <row r="68" spans="1:18" x14ac:dyDescent="0.2">
      <c r="B68" s="3" t="s">
        <v>458</v>
      </c>
      <c r="E68" s="1">
        <f>-L27</f>
        <v>-3.0000029340253533</v>
      </c>
      <c r="G68" s="1"/>
      <c r="H68" s="1" t="s">
        <v>844</v>
      </c>
      <c r="I68" s="1" t="s">
        <v>845</v>
      </c>
      <c r="J68" s="1" t="s">
        <v>846</v>
      </c>
      <c r="K68" s="1" t="s">
        <v>847</v>
      </c>
      <c r="L68" s="1"/>
      <c r="M68" s="1" t="s">
        <v>163</v>
      </c>
      <c r="N68" s="1" t="s">
        <v>526</v>
      </c>
      <c r="O68" s="1" t="s">
        <v>527</v>
      </c>
    </row>
    <row r="69" spans="1:18" x14ac:dyDescent="0.2">
      <c r="B69" s="3" t="s">
        <v>742</v>
      </c>
      <c r="E69" s="1">
        <v>0</v>
      </c>
      <c r="G69" s="1" t="s">
        <v>856</v>
      </c>
      <c r="H69" s="19">
        <f>M69*N69*O69+M70*N70*O70</f>
        <v>0.99965732430531706</v>
      </c>
      <c r="I69" s="19">
        <f>M70*N69*O69-M69*N70*O70</f>
        <v>0</v>
      </c>
      <c r="J69" s="19">
        <f>M69*N70*O69+M70*N69*O70</f>
        <v>0</v>
      </c>
      <c r="K69" s="19">
        <f>M69*N69*O70-M70*N70*O69</f>
        <v>-2.61769739033006E-2</v>
      </c>
      <c r="L69" s="20" t="s">
        <v>34</v>
      </c>
      <c r="M69" s="1">
        <f>COS(-0.5*E70*PI()/180)</f>
        <v>1</v>
      </c>
      <c r="N69" s="1">
        <f>COS(0.5*E69*PI()/180)</f>
        <v>1</v>
      </c>
      <c r="O69" s="1">
        <f>COS(0.5*E68*PI()/180)</f>
        <v>0.99965732430531706</v>
      </c>
    </row>
    <row r="70" spans="1:18" x14ac:dyDescent="0.2">
      <c r="B70" s="3" t="s">
        <v>530</v>
      </c>
      <c r="E70" s="1">
        <v>0</v>
      </c>
      <c r="F70" s="59"/>
      <c r="G70" s="1" t="s">
        <v>857</v>
      </c>
      <c r="H70" s="1">
        <f>J69</f>
        <v>0</v>
      </c>
      <c r="I70" s="1">
        <f>I69</f>
        <v>0</v>
      </c>
      <c r="J70" s="1">
        <f>K69</f>
        <v>-2.61769739033006E-2</v>
      </c>
      <c r="K70" s="1">
        <f>H69</f>
        <v>0.99965732430531706</v>
      </c>
      <c r="L70" s="20" t="s">
        <v>35</v>
      </c>
      <c r="M70" s="1">
        <f>SIN(-0.5*E70*PI()/180)</f>
        <v>0</v>
      </c>
      <c r="N70" s="1">
        <f>SIN(0.5*E69*PI()/180)</f>
        <v>0</v>
      </c>
      <c r="O70" s="1">
        <f>SIN(0.5*E68*PI()/180)</f>
        <v>-2.61769739033006E-2</v>
      </c>
      <c r="R70" s="59"/>
    </row>
    <row r="71" spans="1:18" hidden="1" x14ac:dyDescent="0.2">
      <c r="B71" s="3"/>
      <c r="E71" s="1"/>
      <c r="G71" s="1"/>
      <c r="H71" s="19" t="s">
        <v>36</v>
      </c>
      <c r="I71" s="19" t="s">
        <v>37</v>
      </c>
      <c r="J71" s="19" t="s">
        <v>38</v>
      </c>
      <c r="K71" s="19" t="s">
        <v>882</v>
      </c>
      <c r="L71" s="19" t="s">
        <v>881</v>
      </c>
      <c r="M71" s="19" t="s">
        <v>523</v>
      </c>
      <c r="N71" s="19"/>
      <c r="O71" s="19"/>
    </row>
    <row r="72" spans="1:18" hidden="1" x14ac:dyDescent="0.2">
      <c r="E72" s="1"/>
      <c r="G72" s="1" t="s">
        <v>39</v>
      </c>
      <c r="H72" s="19">
        <f>-2*H69*I69+2*J69*K69</f>
        <v>0</v>
      </c>
      <c r="I72" s="19">
        <f>2*H69*J69+2*I69*K69</f>
        <v>0</v>
      </c>
      <c r="J72" s="19">
        <f>H69*H69-I69*I69-J69*J69+K69*K69</f>
        <v>1</v>
      </c>
      <c r="K72" s="19">
        <f>IF(ABS(I72)&lt;0.99999,ATAN(I72/SQRT(H72*H72+J72*J72)),SIGN(I72)*1000)</f>
        <v>0</v>
      </c>
      <c r="L72" s="19">
        <f>IF(ABS(I72)&lt;0.99999,180/PI()*ATAN(I72/SQRT(H72*H72+J72*J72)),SIGN(I72)*90)</f>
        <v>0</v>
      </c>
      <c r="M72" s="19">
        <f>IF(ABS(H72)&gt;0.00001,IF(H72&gt;0,90-180/PI()*ATAN(J72/H72),-90-180/PI()*ATAN(J72/H72)),-90+SIGN(J72)*90)</f>
        <v>0</v>
      </c>
      <c r="N72" s="19"/>
      <c r="O72" s="19"/>
    </row>
    <row r="73" spans="1:18" hidden="1" x14ac:dyDescent="0.2">
      <c r="E73" s="1"/>
      <c r="G73" s="1"/>
      <c r="H73" s="1"/>
      <c r="I73" s="1"/>
      <c r="J73" s="1"/>
      <c r="K73" s="1"/>
      <c r="L73" s="1"/>
      <c r="M73" s="1"/>
      <c r="N73" s="1"/>
      <c r="O73" s="1"/>
    </row>
    <row r="74" spans="1:18" hidden="1" x14ac:dyDescent="0.2">
      <c r="E74" s="1">
        <v>0</v>
      </c>
      <c r="G74" s="1"/>
      <c r="H74" s="1" t="s">
        <v>850</v>
      </c>
      <c r="I74" s="1" t="s">
        <v>851</v>
      </c>
      <c r="J74" s="1" t="s">
        <v>852</v>
      </c>
      <c r="K74" s="1" t="s">
        <v>853</v>
      </c>
      <c r="L74" s="1"/>
      <c r="M74" s="1" t="s">
        <v>163</v>
      </c>
      <c r="N74" s="1" t="s">
        <v>526</v>
      </c>
      <c r="O74" s="1" t="s">
        <v>527</v>
      </c>
    </row>
    <row r="75" spans="1:18" hidden="1" x14ac:dyDescent="0.2">
      <c r="E75" s="1">
        <v>0</v>
      </c>
      <c r="G75" s="1" t="s">
        <v>855</v>
      </c>
      <c r="H75" s="19">
        <f>M75*N75*O75+M76*N76*O76</f>
        <v>1</v>
      </c>
      <c r="I75" s="19">
        <f>M76*N75*O75-M75*N76*O76</f>
        <v>0</v>
      </c>
      <c r="J75" s="19">
        <f>M75*N76*O75+M76*N75*O76</f>
        <v>0</v>
      </c>
      <c r="K75" s="19">
        <f>M75*N75*O76-M76*N76*O75</f>
        <v>0</v>
      </c>
      <c r="L75" s="20" t="s">
        <v>34</v>
      </c>
      <c r="M75" s="1">
        <f>COS(-0.5*E76*PI()/180)</f>
        <v>1</v>
      </c>
      <c r="N75" s="1">
        <f>COS(0.5*E75*PI()/180)</f>
        <v>1</v>
      </c>
      <c r="O75" s="1">
        <f>COS(0.5*E74*PI()/180)</f>
        <v>1</v>
      </c>
    </row>
    <row r="76" spans="1:18" hidden="1" x14ac:dyDescent="0.2">
      <c r="E76" s="1">
        <v>0</v>
      </c>
      <c r="G76" s="1" t="s">
        <v>854</v>
      </c>
      <c r="H76" s="19">
        <f>H75*H69-I75*I69-J75*J69-K75*K69</f>
        <v>0.99965732430531706</v>
      </c>
      <c r="I76" s="19">
        <f>H75*I69+I75*H69+J75*K69-K75*J69</f>
        <v>0</v>
      </c>
      <c r="J76" s="19">
        <f>H75*J69-I75*K69+J75*H69+K75*I69</f>
        <v>0</v>
      </c>
      <c r="K76" s="19">
        <f>H75*K69+I75*J69-J75*I69+K75*H69</f>
        <v>-2.61769739033006E-2</v>
      </c>
      <c r="L76" s="20" t="s">
        <v>35</v>
      </c>
      <c r="M76" s="1">
        <f>SIN(-0.5*E76*PI()/180)</f>
        <v>0</v>
      </c>
      <c r="N76" s="1">
        <f>SIN(0.5*E75*PI()/180)</f>
        <v>0</v>
      </c>
      <c r="O76" s="1">
        <f>SIN(0.5*E74*PI()/180)</f>
        <v>0</v>
      </c>
    </row>
    <row r="77" spans="1:18" hidden="1" x14ac:dyDescent="0.2">
      <c r="E77" s="1"/>
      <c r="G77" s="1" t="s">
        <v>848</v>
      </c>
      <c r="H77" s="1">
        <f>J76</f>
        <v>0</v>
      </c>
      <c r="I77" s="1">
        <f>I76</f>
        <v>0</v>
      </c>
      <c r="J77" s="1">
        <f>K76</f>
        <v>-2.61769739033006E-2</v>
      </c>
      <c r="K77" s="1">
        <f>H76</f>
        <v>0.99965732430531706</v>
      </c>
      <c r="L77" s="20"/>
      <c r="M77" s="1"/>
      <c r="N77" s="1"/>
      <c r="O77" s="1"/>
    </row>
    <row r="78" spans="1:18" hidden="1" x14ac:dyDescent="0.2">
      <c r="E78" s="1"/>
      <c r="G78" s="1"/>
      <c r="H78" s="19" t="s">
        <v>36</v>
      </c>
      <c r="I78" s="19" t="s">
        <v>37</v>
      </c>
      <c r="J78" s="19" t="s">
        <v>38</v>
      </c>
      <c r="K78" s="19" t="s">
        <v>882</v>
      </c>
      <c r="L78" s="19" t="s">
        <v>881</v>
      </c>
      <c r="M78" s="19" t="s">
        <v>523</v>
      </c>
      <c r="N78" s="19"/>
      <c r="O78" s="19"/>
    </row>
    <row r="79" spans="1:18" hidden="1" x14ac:dyDescent="0.2">
      <c r="E79" s="1"/>
      <c r="G79" s="1" t="s">
        <v>39</v>
      </c>
      <c r="H79" s="19">
        <f>-2*H76*I76+2*J76*K76</f>
        <v>0</v>
      </c>
      <c r="I79" s="19">
        <f>2*H76*J76+2*I76*K76</f>
        <v>0</v>
      </c>
      <c r="J79" s="19">
        <f>H76*H76-I76*I76-J76*J76+K76*K76</f>
        <v>1</v>
      </c>
      <c r="K79" s="19">
        <f>IF(ABS(I79)&lt;0.99999,ATAN(I79/SQRT(H79*H79+J79*J79)),SIGN(I79)*1000)</f>
        <v>0</v>
      </c>
      <c r="L79" s="19">
        <f>IF(ABS(I79)&lt;0.99999,180/PI()*ATAN(I79/SQRT(H79*H79+J79*J79)),SIGN(I79)*90)</f>
        <v>0</v>
      </c>
      <c r="M79" s="19">
        <f>IF(ABS(H79)&gt;0.00001,IF(H79&gt;0,90-180/PI()*ATAN(J79/H79),-90-180/PI()*ATAN(J79/H79)),-90+SIGN(J79)*90)</f>
        <v>0</v>
      </c>
      <c r="N79" s="19"/>
      <c r="O79" s="19"/>
    </row>
    <row r="80" spans="1:18" hidden="1" x14ac:dyDescent="0.2">
      <c r="E80" s="1"/>
      <c r="G80" s="1"/>
      <c r="H80" s="1"/>
      <c r="I80" s="1"/>
      <c r="J80" s="1"/>
      <c r="K80" s="1"/>
      <c r="L80" s="1"/>
      <c r="M80" s="1"/>
      <c r="N80" s="1"/>
      <c r="O80" s="1"/>
    </row>
    <row r="81" spans="1:18" hidden="1" x14ac:dyDescent="0.2">
      <c r="E81" s="1">
        <v>0</v>
      </c>
      <c r="G81" s="1"/>
      <c r="H81" s="1" t="s">
        <v>860</v>
      </c>
      <c r="I81" s="1" t="s">
        <v>861</v>
      </c>
      <c r="J81" s="1" t="s">
        <v>862</v>
      </c>
      <c r="K81" s="1" t="s">
        <v>863</v>
      </c>
      <c r="L81" s="1"/>
      <c r="M81" s="1" t="s">
        <v>163</v>
      </c>
      <c r="N81" s="1" t="s">
        <v>526</v>
      </c>
      <c r="O81" s="1" t="s">
        <v>527</v>
      </c>
    </row>
    <row r="82" spans="1:18" hidden="1" x14ac:dyDescent="0.2">
      <c r="E82" s="1">
        <v>0</v>
      </c>
      <c r="G82" s="1" t="s">
        <v>864</v>
      </c>
      <c r="H82" s="19">
        <f>M82*N82*O82+M83*N83*O83</f>
        <v>0.45864944179123557</v>
      </c>
      <c r="I82" s="19">
        <f>M83*N82*O82-M82*N83*O83</f>
        <v>0.88861729082017527</v>
      </c>
      <c r="J82" s="19">
        <f>M82*N83*O82+M83*N82*O83</f>
        <v>0</v>
      </c>
      <c r="K82" s="19">
        <f>M82*N82*O83-M83*N83*O82</f>
        <v>0</v>
      </c>
      <c r="L82" s="20" t="s">
        <v>34</v>
      </c>
      <c r="M82" s="1">
        <f>COS(-0.5*E83*PI()/180)</f>
        <v>0.45864944179123557</v>
      </c>
      <c r="N82" s="1">
        <f>COS(0.5*E82*PI()/180)</f>
        <v>1</v>
      </c>
      <c r="O82" s="1">
        <f>COS(0.5*E81*PI()/180)</f>
        <v>1</v>
      </c>
    </row>
    <row r="83" spans="1:18" hidden="1" x14ac:dyDescent="0.2">
      <c r="E83" s="1">
        <f>Q21-90</f>
        <v>-125.40001453232593</v>
      </c>
      <c r="G83" s="1" t="s">
        <v>865</v>
      </c>
      <c r="H83" s="19">
        <f>H82*H76-I82*I76-J82*J76-K82*K76</f>
        <v>0.45849227377515384</v>
      </c>
      <c r="I83" s="19">
        <f>H82*I76+I82*H76+J82*K76-K82*J76</f>
        <v>0.88831278327273622</v>
      </c>
      <c r="J83" s="19">
        <f>H82*J76-I82*K76+J82*H76+K82*I76</f>
        <v>2.3261311631821407E-2</v>
      </c>
      <c r="K83" s="19">
        <f>H82*K76+I82*J76-J82*I76+K82*H76</f>
        <v>-1.200605446853256E-2</v>
      </c>
      <c r="L83" s="20" t="s">
        <v>35</v>
      </c>
      <c r="M83" s="1">
        <f>SIN(-0.5*E83*PI()/180)</f>
        <v>0.88861729082017527</v>
      </c>
      <c r="N83" s="1">
        <f>SIN(0.5*E82*PI()/180)</f>
        <v>0</v>
      </c>
      <c r="O83" s="1">
        <f>SIN(0.5*E81*PI()/180)</f>
        <v>0</v>
      </c>
    </row>
    <row r="84" spans="1:18" hidden="1" x14ac:dyDescent="0.2">
      <c r="G84" s="1" t="s">
        <v>848</v>
      </c>
      <c r="H84" s="1">
        <f>J83</f>
        <v>2.3261311631821407E-2</v>
      </c>
      <c r="I84" s="1">
        <f>I83</f>
        <v>0.88831278327273622</v>
      </c>
      <c r="J84" s="1">
        <f>K83</f>
        <v>-1.200605446853256E-2</v>
      </c>
      <c r="K84" s="1">
        <f>H83</f>
        <v>0.45849227377515384</v>
      </c>
      <c r="L84" s="20"/>
      <c r="M84" s="1"/>
      <c r="N84" s="1"/>
      <c r="O84" s="1"/>
    </row>
    <row r="85" spans="1:18" hidden="1" x14ac:dyDescent="0.2">
      <c r="G85" s="1"/>
      <c r="H85" s="19" t="s">
        <v>36</v>
      </c>
      <c r="I85" s="19" t="s">
        <v>37</v>
      </c>
      <c r="J85" s="19" t="s">
        <v>38</v>
      </c>
      <c r="K85" s="19" t="s">
        <v>882</v>
      </c>
      <c r="L85" s="19" t="s">
        <v>881</v>
      </c>
      <c r="M85" s="19" t="s">
        <v>523</v>
      </c>
      <c r="N85" s="19"/>
      <c r="O85" s="19"/>
    </row>
    <row r="86" spans="1:18" hidden="1" x14ac:dyDescent="0.2">
      <c r="G86" s="1" t="s">
        <v>39</v>
      </c>
      <c r="H86" s="19">
        <f>-2*H83*I83+2*J83*K83</f>
        <v>-0.81512764880142685</v>
      </c>
      <c r="I86" s="19">
        <f>2*H83*J83+2*I83*K83</f>
        <v>0</v>
      </c>
      <c r="J86" s="19">
        <f>H83*H83-I83*I83-J83*J83+K83*K83</f>
        <v>-0.57928137908917599</v>
      </c>
      <c r="K86" s="19">
        <f>IF(ABS(I86)&lt;0.99999,ATAN(I86/SQRT(H86*H86+J86*J86)),SIGN(I86)*1000)</f>
        <v>0</v>
      </c>
      <c r="L86" s="19">
        <f>IF(ABS(I86)&lt;0.99999,180/PI()*ATAN(I86/SQRT(H86*H86+J86*J86)),SIGN(I86)*90)</f>
        <v>0</v>
      </c>
      <c r="M86" s="19">
        <f>IF(ABS(H86)&gt;0.00001,IF(H86&gt;0,90-180/PI()*ATAN(J86/H86),-90-180/PI()*ATAN(J86/H86)),-90+SIGN(J86)*90)</f>
        <v>-125.40001453232591</v>
      </c>
      <c r="N86" s="19"/>
      <c r="O86" s="19"/>
    </row>
    <row r="87" spans="1:18" x14ac:dyDescent="0.2">
      <c r="A87" s="56" t="s">
        <v>877</v>
      </c>
      <c r="B87" s="65" t="str">
        <f>CONCATENATE(TEXT(H84,"0.000000")," ",TEXT(I84,"0.000000")," ",TEXT(J84,"0.000000")," ",TEXT(K84,"0.000000"))</f>
        <v>0.023261 0.888313 -0.012006 0.458492</v>
      </c>
      <c r="D87" s="2"/>
      <c r="E87" s="2"/>
      <c r="F87" s="59"/>
      <c r="G87" s="13"/>
      <c r="H87" s="15"/>
      <c r="I87" s="2"/>
      <c r="J87" s="2"/>
      <c r="K87" s="2"/>
      <c r="R87" s="59"/>
    </row>
    <row r="88" spans="1:18" s="28" customFormat="1" ht="13.5" thickBot="1" x14ac:dyDescent="0.25"/>
    <row r="89" spans="1:18" x14ac:dyDescent="0.2">
      <c r="A89" s="25" t="s">
        <v>1310</v>
      </c>
      <c r="B89" s="23"/>
      <c r="C89" s="23"/>
      <c r="G89" s="1"/>
    </row>
    <row r="90" spans="1:18" x14ac:dyDescent="0.2">
      <c r="B90" s="3" t="s">
        <v>458</v>
      </c>
      <c r="E90" s="1">
        <v>0</v>
      </c>
      <c r="G90" s="1"/>
      <c r="H90" s="1" t="s">
        <v>844</v>
      </c>
      <c r="I90" s="1" t="s">
        <v>845</v>
      </c>
      <c r="J90" s="1" t="s">
        <v>846</v>
      </c>
      <c r="K90" s="1" t="s">
        <v>847</v>
      </c>
      <c r="L90" s="1"/>
      <c r="M90" s="1" t="s">
        <v>163</v>
      </c>
      <c r="N90" s="1" t="s">
        <v>526</v>
      </c>
      <c r="O90" s="1" t="s">
        <v>527</v>
      </c>
    </row>
    <row r="91" spans="1:18" x14ac:dyDescent="0.2">
      <c r="B91" s="3" t="s">
        <v>742</v>
      </c>
      <c r="E91" s="1">
        <v>0</v>
      </c>
      <c r="G91" s="1" t="s">
        <v>856</v>
      </c>
      <c r="H91" s="19">
        <f>M91*N91*O91+M92*N92*O92</f>
        <v>1</v>
      </c>
      <c r="I91" s="19">
        <f>M92*N91*O91-M91*N92*O92</f>
        <v>0</v>
      </c>
      <c r="J91" s="19">
        <f>M91*N92*O91+M92*N91*O92</f>
        <v>0</v>
      </c>
      <c r="K91" s="19">
        <f>M91*N91*O92-M92*N92*O91</f>
        <v>0</v>
      </c>
      <c r="L91" s="20" t="s">
        <v>34</v>
      </c>
      <c r="M91" s="1">
        <f>COS(-0.5*E92*PI()/180)</f>
        <v>1</v>
      </c>
      <c r="N91" s="1">
        <f>COS(0.5*E91*PI()/180)</f>
        <v>1</v>
      </c>
      <c r="O91" s="1">
        <f>COS(0.5*E90*PI()/180)</f>
        <v>1</v>
      </c>
    </row>
    <row r="92" spans="1:18" x14ac:dyDescent="0.2">
      <c r="B92" s="3" t="s">
        <v>1307</v>
      </c>
      <c r="E92" s="1">
        <v>0</v>
      </c>
      <c r="F92" s="59"/>
      <c r="G92" s="1" t="s">
        <v>857</v>
      </c>
      <c r="H92" s="1">
        <f>J91</f>
        <v>0</v>
      </c>
      <c r="I92" s="1">
        <f>I91</f>
        <v>0</v>
      </c>
      <c r="J92" s="1">
        <f>K91</f>
        <v>0</v>
      </c>
      <c r="K92" s="1">
        <f>H91</f>
        <v>1</v>
      </c>
      <c r="L92" s="20" t="s">
        <v>35</v>
      </c>
      <c r="M92" s="1">
        <f>SIN(-0.5*E92*PI()/180)</f>
        <v>0</v>
      </c>
      <c r="N92" s="1">
        <f>SIN(0.5*E91*PI()/180)</f>
        <v>0</v>
      </c>
      <c r="O92" s="1">
        <f>SIN(0.5*E90*PI()/180)</f>
        <v>0</v>
      </c>
      <c r="R92" s="59"/>
    </row>
    <row r="93" spans="1:18" hidden="1" x14ac:dyDescent="0.2">
      <c r="B93" s="3"/>
      <c r="E93" s="1"/>
      <c r="G93" s="1"/>
      <c r="H93" s="19" t="s">
        <v>36</v>
      </c>
      <c r="I93" s="19" t="s">
        <v>37</v>
      </c>
      <c r="J93" s="19" t="s">
        <v>38</v>
      </c>
      <c r="K93" s="19" t="s">
        <v>882</v>
      </c>
      <c r="L93" s="19" t="s">
        <v>881</v>
      </c>
      <c r="M93" s="19" t="s">
        <v>523</v>
      </c>
      <c r="N93" s="19"/>
      <c r="O93" s="19"/>
    </row>
    <row r="94" spans="1:18" hidden="1" x14ac:dyDescent="0.2">
      <c r="E94" s="1"/>
      <c r="G94" s="1" t="s">
        <v>39</v>
      </c>
      <c r="H94" s="19">
        <f>-2*H91*I91+2*J91*K91</f>
        <v>0</v>
      </c>
      <c r="I94" s="19">
        <f>2*H91*J91+2*I91*K91</f>
        <v>0</v>
      </c>
      <c r="J94" s="19">
        <f>H91*H91-I91*I91-J91*J91+K91*K91</f>
        <v>1</v>
      </c>
      <c r="K94" s="19">
        <f>IF(ABS(I94)&lt;0.99999,ATAN(I94/SQRT(H94*H94+J94*J94)),SIGN(I94)*1000)</f>
        <v>0</v>
      </c>
      <c r="L94" s="19">
        <f>IF(ABS(I94)&lt;0.99999,180/PI()*ATAN(I94/SQRT(H94*H94+J94*J94)),SIGN(I94)*90)</f>
        <v>0</v>
      </c>
      <c r="M94" s="19">
        <f>IF(ABS(H94)&gt;0.00001,IF(H94&gt;0,90-180/PI()*ATAN(J94/H94),-90-180/PI()*ATAN(J94/H94)),-90+SIGN(J94)*90)</f>
        <v>0</v>
      </c>
      <c r="N94" s="19"/>
      <c r="O94" s="19"/>
    </row>
    <row r="95" spans="1:18" hidden="1" x14ac:dyDescent="0.2">
      <c r="E95" s="1"/>
      <c r="G95" s="1"/>
      <c r="H95" s="1"/>
      <c r="I95" s="1"/>
      <c r="J95" s="1"/>
      <c r="K95" s="1"/>
      <c r="L95" s="1"/>
      <c r="M95" s="1"/>
      <c r="N95" s="1"/>
      <c r="O95" s="1"/>
    </row>
    <row r="96" spans="1:18" hidden="1" x14ac:dyDescent="0.2">
      <c r="E96" s="1">
        <v>0</v>
      </c>
      <c r="G96" s="1"/>
      <c r="H96" s="1" t="s">
        <v>850</v>
      </c>
      <c r="I96" s="1" t="s">
        <v>851</v>
      </c>
      <c r="J96" s="1" t="s">
        <v>852</v>
      </c>
      <c r="K96" s="1" t="s">
        <v>853</v>
      </c>
      <c r="L96" s="1"/>
      <c r="M96" s="1" t="s">
        <v>163</v>
      </c>
      <c r="N96" s="1" t="s">
        <v>526</v>
      </c>
      <c r="O96" s="1" t="s">
        <v>527</v>
      </c>
    </row>
    <row r="97" spans="1:18" hidden="1" x14ac:dyDescent="0.2">
      <c r="E97" s="1">
        <v>0</v>
      </c>
      <c r="G97" s="1" t="s">
        <v>855</v>
      </c>
      <c r="H97" s="19">
        <f>M97*N97*O97+M98*N98*O98</f>
        <v>1</v>
      </c>
      <c r="I97" s="19">
        <f>M98*N97*O97-M97*N98*O98</f>
        <v>0</v>
      </c>
      <c r="J97" s="19">
        <f>M97*N98*O97+M98*N97*O98</f>
        <v>0</v>
      </c>
      <c r="K97" s="19">
        <f>M97*N97*O98-M98*N98*O97</f>
        <v>0</v>
      </c>
      <c r="L97" s="20" t="s">
        <v>34</v>
      </c>
      <c r="M97" s="1">
        <f>COS(-0.5*E98*PI()/180)</f>
        <v>1</v>
      </c>
      <c r="N97" s="1">
        <f>COS(0.5*E97*PI()/180)</f>
        <v>1</v>
      </c>
      <c r="O97" s="1">
        <f>COS(0.5*E96*PI()/180)</f>
        <v>1</v>
      </c>
    </row>
    <row r="98" spans="1:18" hidden="1" x14ac:dyDescent="0.2">
      <c r="E98" s="1">
        <v>0</v>
      </c>
      <c r="G98" s="1" t="s">
        <v>854</v>
      </c>
      <c r="H98" s="19">
        <f>H97*H91-I97*I91-J97*J91-K97*K91</f>
        <v>1</v>
      </c>
      <c r="I98" s="19">
        <f>H97*I91+I97*H91+J97*K91-K97*J91</f>
        <v>0</v>
      </c>
      <c r="J98" s="19">
        <f>H97*J91-I97*K91+J97*H91+K97*I91</f>
        <v>0</v>
      </c>
      <c r="K98" s="19">
        <f>H97*K91+I97*J91-J97*I91+K97*H91</f>
        <v>0</v>
      </c>
      <c r="L98" s="20" t="s">
        <v>35</v>
      </c>
      <c r="M98" s="1">
        <f>SIN(-0.5*E98*PI()/180)</f>
        <v>0</v>
      </c>
      <c r="N98" s="1">
        <f>SIN(0.5*E97*PI()/180)</f>
        <v>0</v>
      </c>
      <c r="O98" s="1">
        <f>SIN(0.5*E96*PI()/180)</f>
        <v>0</v>
      </c>
    </row>
    <row r="99" spans="1:18" hidden="1" x14ac:dyDescent="0.2">
      <c r="E99" s="1"/>
      <c r="G99" s="1" t="s">
        <v>848</v>
      </c>
      <c r="H99" s="1">
        <f>J98</f>
        <v>0</v>
      </c>
      <c r="I99" s="1">
        <f>I98</f>
        <v>0</v>
      </c>
      <c r="J99" s="1">
        <f>K98</f>
        <v>0</v>
      </c>
      <c r="K99" s="1">
        <f>H98</f>
        <v>1</v>
      </c>
      <c r="L99" s="20"/>
      <c r="M99" s="1"/>
      <c r="N99" s="1"/>
      <c r="O99" s="1"/>
    </row>
    <row r="100" spans="1:18" hidden="1" x14ac:dyDescent="0.2">
      <c r="E100" s="1"/>
      <c r="G100" s="1"/>
      <c r="H100" s="19" t="s">
        <v>36</v>
      </c>
      <c r="I100" s="19" t="s">
        <v>37</v>
      </c>
      <c r="J100" s="19" t="s">
        <v>38</v>
      </c>
      <c r="K100" s="19" t="s">
        <v>882</v>
      </c>
      <c r="L100" s="19" t="s">
        <v>881</v>
      </c>
      <c r="M100" s="19" t="s">
        <v>523</v>
      </c>
      <c r="N100" s="19"/>
      <c r="O100" s="19"/>
    </row>
    <row r="101" spans="1:18" hidden="1" x14ac:dyDescent="0.2">
      <c r="E101" s="1"/>
      <c r="G101" s="1" t="s">
        <v>39</v>
      </c>
      <c r="H101" s="19">
        <f>-2*H98*I98+2*J98*K98</f>
        <v>0</v>
      </c>
      <c r="I101" s="19">
        <f>2*H98*J98+2*I98*K98</f>
        <v>0</v>
      </c>
      <c r="J101" s="19">
        <f>H98*H98-I98*I98-J98*J98+K98*K98</f>
        <v>1</v>
      </c>
      <c r="K101" s="19">
        <f>IF(ABS(I101)&lt;0.99999,ATAN(I101/SQRT(H101*H101+J101*J101)),SIGN(I101)*1000)</f>
        <v>0</v>
      </c>
      <c r="L101" s="19">
        <f>IF(ABS(I101)&lt;0.99999,180/PI()*ATAN(I101/SQRT(H101*H101+J101*J101)),SIGN(I101)*90)</f>
        <v>0</v>
      </c>
      <c r="M101" s="19">
        <f>IF(ABS(H101)&gt;0.00001,IF(H101&gt;0,90-180/PI()*ATAN(J101/H101),-90-180/PI()*ATAN(J101/H101)),-90+SIGN(J101)*90)</f>
        <v>0</v>
      </c>
      <c r="N101" s="19"/>
      <c r="O101" s="19"/>
    </row>
    <row r="102" spans="1:18" hidden="1" x14ac:dyDescent="0.2">
      <c r="E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8" hidden="1" x14ac:dyDescent="0.2">
      <c r="E103" s="1">
        <v>0</v>
      </c>
      <c r="G103" s="1"/>
      <c r="H103" s="1" t="s">
        <v>860</v>
      </c>
      <c r="I103" s="1" t="s">
        <v>861</v>
      </c>
      <c r="J103" s="1" t="s">
        <v>862</v>
      </c>
      <c r="K103" s="1" t="s">
        <v>863</v>
      </c>
      <c r="L103" s="1"/>
      <c r="M103" s="1" t="s">
        <v>163</v>
      </c>
      <c r="N103" s="1" t="s">
        <v>526</v>
      </c>
      <c r="O103" s="1" t="s">
        <v>527</v>
      </c>
    </row>
    <row r="104" spans="1:18" hidden="1" x14ac:dyDescent="0.2">
      <c r="E104" s="1">
        <v>0</v>
      </c>
      <c r="G104" s="1" t="s">
        <v>864</v>
      </c>
      <c r="H104" s="19">
        <f>M104*N104*O104+M105*N105*O105</f>
        <v>0.88861729082017538</v>
      </c>
      <c r="I104" s="19">
        <f>M105*N104*O104-M104*N105*O105</f>
        <v>-0.4586494417912354</v>
      </c>
      <c r="J104" s="19">
        <f>M104*N105*O104+M105*N104*O105</f>
        <v>0</v>
      </c>
      <c r="K104" s="19">
        <f>M104*N104*O105-M105*N105*O104</f>
        <v>0</v>
      </c>
      <c r="L104" s="20" t="s">
        <v>34</v>
      </c>
      <c r="M104" s="1">
        <f>COS(-0.5*E105*PI()/180)</f>
        <v>0.88861729082017538</v>
      </c>
      <c r="N104" s="1">
        <f>COS(0.5*E104*PI()/180)</f>
        <v>1</v>
      </c>
      <c r="O104" s="1">
        <f>COS(0.5*E103*PI()/180)</f>
        <v>1</v>
      </c>
    </row>
    <row r="105" spans="1:18" hidden="1" x14ac:dyDescent="0.2">
      <c r="E105" s="1">
        <f>Q21+90</f>
        <v>54.599985467674074</v>
      </c>
      <c r="G105" s="1" t="s">
        <v>865</v>
      </c>
      <c r="H105" s="19">
        <f>H104*H98-I104*I98-J104*J98-K104*K98</f>
        <v>0.88861729082017538</v>
      </c>
      <c r="I105" s="19">
        <f>H104*I98+I104*H98+J104*K98-K104*J98</f>
        <v>-0.4586494417912354</v>
      </c>
      <c r="J105" s="19">
        <f>H104*J98-I104*K98+J104*H98+K104*I98</f>
        <v>0</v>
      </c>
      <c r="K105" s="19">
        <f>H104*K98+I104*J98-J104*I98+K104*H98</f>
        <v>0</v>
      </c>
      <c r="L105" s="20" t="s">
        <v>35</v>
      </c>
      <c r="M105" s="1">
        <f>SIN(-0.5*E105*PI()/180)</f>
        <v>-0.4586494417912354</v>
      </c>
      <c r="N105" s="1">
        <f>SIN(0.5*E104*PI()/180)</f>
        <v>0</v>
      </c>
      <c r="O105" s="1">
        <f>SIN(0.5*E103*PI()/180)</f>
        <v>0</v>
      </c>
    </row>
    <row r="106" spans="1:18" hidden="1" x14ac:dyDescent="0.2">
      <c r="G106" s="1" t="s">
        <v>848</v>
      </c>
      <c r="H106" s="1">
        <f>J105</f>
        <v>0</v>
      </c>
      <c r="I106" s="1">
        <f>I105</f>
        <v>-0.4586494417912354</v>
      </c>
      <c r="J106" s="1">
        <f>K105</f>
        <v>0</v>
      </c>
      <c r="K106" s="1">
        <f>H105</f>
        <v>0.88861729082017538</v>
      </c>
      <c r="L106" s="20"/>
      <c r="M106" s="1"/>
      <c r="N106" s="1"/>
      <c r="O106" s="1"/>
    </row>
    <row r="107" spans="1:18" hidden="1" x14ac:dyDescent="0.2">
      <c r="G107" s="1"/>
      <c r="H107" s="19" t="s">
        <v>36</v>
      </c>
      <c r="I107" s="19" t="s">
        <v>37</v>
      </c>
      <c r="J107" s="19" t="s">
        <v>38</v>
      </c>
      <c r="K107" s="19" t="s">
        <v>882</v>
      </c>
      <c r="L107" s="19" t="s">
        <v>881</v>
      </c>
      <c r="M107" s="19" t="s">
        <v>523</v>
      </c>
      <c r="N107" s="19"/>
      <c r="O107" s="19"/>
    </row>
    <row r="108" spans="1:18" hidden="1" x14ac:dyDescent="0.2">
      <c r="G108" s="1" t="s">
        <v>39</v>
      </c>
      <c r="H108" s="19">
        <f>-2*H105*I105+2*J105*K105</f>
        <v>0.81512764880142663</v>
      </c>
      <c r="I108" s="19">
        <f>2*H105*J105+2*I105*K105</f>
        <v>0</v>
      </c>
      <c r="J108" s="19">
        <f>H105*H105-I105*I105-J105*J105+K105*K105</f>
        <v>0.57928137908917621</v>
      </c>
      <c r="K108" s="19">
        <f>IF(ABS(I108)&lt;0.99999,ATAN(I108/SQRT(H108*H108+J108*J108)),SIGN(I108)*1000)</f>
        <v>0</v>
      </c>
      <c r="L108" s="19">
        <f>IF(ABS(I108)&lt;0.99999,180/PI()*ATAN(I108/SQRT(H108*H108+J108*J108)),SIGN(I108)*90)</f>
        <v>0</v>
      </c>
      <c r="M108" s="19">
        <f>IF(ABS(H108)&gt;0.00001,IF(H108&gt;0,90-180/PI()*ATAN(J108/H108),-90-180/PI()*ATAN(J108/H108)),-90+SIGN(J108)*90)</f>
        <v>54.599985467674074</v>
      </c>
      <c r="N108" s="19"/>
      <c r="O108" s="19"/>
    </row>
    <row r="109" spans="1:18" x14ac:dyDescent="0.2">
      <c r="A109" s="56" t="s">
        <v>877</v>
      </c>
      <c r="B109" s="65" t="str">
        <f>CONCATENATE(TEXT(H106,"0.000000")," ",TEXT(I106,"0.000000")," ",TEXT(J106,"0.000000")," ",TEXT(K106,"0.000000"))</f>
        <v>0.000000 -0.458649 0.000000 0.888617</v>
      </c>
      <c r="D109" s="2"/>
      <c r="E109" s="2"/>
      <c r="F109" s="59"/>
      <c r="G109" s="13"/>
      <c r="H109" s="15"/>
      <c r="I109" s="2"/>
      <c r="J109" s="2"/>
      <c r="K109" s="2"/>
      <c r="R109" s="59"/>
    </row>
    <row r="110" spans="1:18" s="28" customFormat="1" ht="13.5" thickBot="1" x14ac:dyDescent="0.25"/>
    <row r="111" spans="1:18" x14ac:dyDescent="0.2">
      <c r="A111" s="25" t="s">
        <v>1311</v>
      </c>
      <c r="B111" s="23"/>
      <c r="C111" s="23"/>
      <c r="G111" s="1"/>
    </row>
    <row r="112" spans="1:18" x14ac:dyDescent="0.2">
      <c r="B112" s="3" t="s">
        <v>458</v>
      </c>
      <c r="E112" s="1">
        <v>0</v>
      </c>
      <c r="G112" s="1"/>
      <c r="H112" s="1" t="s">
        <v>844</v>
      </c>
      <c r="I112" s="1" t="s">
        <v>845</v>
      </c>
      <c r="J112" s="1" t="s">
        <v>846</v>
      </c>
      <c r="K112" s="1" t="s">
        <v>847</v>
      </c>
      <c r="L112" s="1"/>
      <c r="M112" s="1" t="s">
        <v>163</v>
      </c>
      <c r="N112" s="1" t="s">
        <v>526</v>
      </c>
      <c r="O112" s="1" t="s">
        <v>527</v>
      </c>
    </row>
    <row r="113" spans="2:18" x14ac:dyDescent="0.2">
      <c r="B113" s="3" t="s">
        <v>742</v>
      </c>
      <c r="E113" s="1">
        <v>0</v>
      </c>
      <c r="G113" s="1" t="s">
        <v>856</v>
      </c>
      <c r="H113" s="19">
        <f>M113*N113*O113+M114*N114*O114</f>
        <v>1</v>
      </c>
      <c r="I113" s="19">
        <f>M114*N113*O113-M113*N114*O114</f>
        <v>0</v>
      </c>
      <c r="J113" s="19">
        <f>M113*N114*O113+M114*N113*O114</f>
        <v>0</v>
      </c>
      <c r="K113" s="19">
        <f>M113*N113*O114-M114*N114*O113</f>
        <v>0</v>
      </c>
      <c r="L113" s="20" t="s">
        <v>34</v>
      </c>
      <c r="M113" s="1">
        <f>COS(-0.5*E114*PI()/180)</f>
        <v>1</v>
      </c>
      <c r="N113" s="1">
        <f>COS(0.5*E113*PI()/180)</f>
        <v>1</v>
      </c>
      <c r="O113" s="1">
        <f>COS(0.5*E112*PI()/180)</f>
        <v>1</v>
      </c>
    </row>
    <row r="114" spans="2:18" x14ac:dyDescent="0.2">
      <c r="B114" s="3" t="s">
        <v>1307</v>
      </c>
      <c r="E114" s="1">
        <v>0</v>
      </c>
      <c r="F114" s="59"/>
      <c r="G114" s="1" t="s">
        <v>857</v>
      </c>
      <c r="H114" s="1">
        <f>J113</f>
        <v>0</v>
      </c>
      <c r="I114" s="1">
        <f>I113</f>
        <v>0</v>
      </c>
      <c r="J114" s="1">
        <f>K113</f>
        <v>0</v>
      </c>
      <c r="K114" s="1">
        <f>H113</f>
        <v>1</v>
      </c>
      <c r="L114" s="20" t="s">
        <v>35</v>
      </c>
      <c r="M114" s="1">
        <f>SIN(-0.5*E114*PI()/180)</f>
        <v>0</v>
      </c>
      <c r="N114" s="1">
        <f>SIN(0.5*E113*PI()/180)</f>
        <v>0</v>
      </c>
      <c r="O114" s="1">
        <f>SIN(0.5*E112*PI()/180)</f>
        <v>0</v>
      </c>
      <c r="R114" s="59"/>
    </row>
    <row r="115" spans="2:18" hidden="1" x14ac:dyDescent="0.2">
      <c r="B115" s="3"/>
      <c r="E115" s="1"/>
      <c r="G115" s="1"/>
      <c r="H115" s="19" t="s">
        <v>36</v>
      </c>
      <c r="I115" s="19" t="s">
        <v>37</v>
      </c>
      <c r="J115" s="19" t="s">
        <v>38</v>
      </c>
      <c r="K115" s="19" t="s">
        <v>882</v>
      </c>
      <c r="L115" s="19" t="s">
        <v>881</v>
      </c>
      <c r="M115" s="19" t="s">
        <v>523</v>
      </c>
      <c r="N115" s="19"/>
      <c r="O115" s="19"/>
    </row>
    <row r="116" spans="2:18" hidden="1" x14ac:dyDescent="0.2">
      <c r="E116" s="1"/>
      <c r="G116" s="1" t="s">
        <v>39</v>
      </c>
      <c r="H116" s="19">
        <f>-2*H113*I113+2*J113*K113</f>
        <v>0</v>
      </c>
      <c r="I116" s="19">
        <f>2*H113*J113+2*I113*K113</f>
        <v>0</v>
      </c>
      <c r="J116" s="19">
        <f>H113*H113-I113*I113-J113*J113+K113*K113</f>
        <v>1</v>
      </c>
      <c r="K116" s="19">
        <f>IF(ABS(I116)&lt;0.99999,ATAN(I116/SQRT(H116*H116+J116*J116)),SIGN(I116)*1000)</f>
        <v>0</v>
      </c>
      <c r="L116" s="19">
        <f>IF(ABS(I116)&lt;0.99999,180/PI()*ATAN(I116/SQRT(H116*H116+J116*J116)),SIGN(I116)*90)</f>
        <v>0</v>
      </c>
      <c r="M116" s="19">
        <f>IF(ABS(H116)&gt;0.00001,IF(H116&gt;0,90-180/PI()*ATAN(J116/H116),-90-180/PI()*ATAN(J116/H116)),-90+SIGN(J116)*90)</f>
        <v>0</v>
      </c>
      <c r="N116" s="19"/>
      <c r="O116" s="19"/>
    </row>
    <row r="117" spans="2:18" hidden="1" x14ac:dyDescent="0.2">
      <c r="E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2:18" hidden="1" x14ac:dyDescent="0.2">
      <c r="E118" s="1">
        <v>0</v>
      </c>
      <c r="G118" s="1"/>
      <c r="H118" s="1" t="s">
        <v>850</v>
      </c>
      <c r="I118" s="1" t="s">
        <v>851</v>
      </c>
      <c r="J118" s="1" t="s">
        <v>852</v>
      </c>
      <c r="K118" s="1" t="s">
        <v>853</v>
      </c>
      <c r="L118" s="1"/>
      <c r="M118" s="1" t="s">
        <v>163</v>
      </c>
      <c r="N118" s="1" t="s">
        <v>526</v>
      </c>
      <c r="O118" s="1" t="s">
        <v>527</v>
      </c>
    </row>
    <row r="119" spans="2:18" hidden="1" x14ac:dyDescent="0.2">
      <c r="E119" s="1">
        <v>0</v>
      </c>
      <c r="G119" s="1" t="s">
        <v>855</v>
      </c>
      <c r="H119" s="19">
        <f>M119*N119*O119+M120*N120*O120</f>
        <v>1</v>
      </c>
      <c r="I119" s="19">
        <f>M120*N119*O119-M119*N120*O120</f>
        <v>0</v>
      </c>
      <c r="J119" s="19">
        <f>M119*N120*O119+M120*N119*O120</f>
        <v>0</v>
      </c>
      <c r="K119" s="19">
        <f>M119*N119*O120-M120*N120*O119</f>
        <v>0</v>
      </c>
      <c r="L119" s="20" t="s">
        <v>34</v>
      </c>
      <c r="M119" s="1">
        <f>COS(-0.5*E120*PI()/180)</f>
        <v>1</v>
      </c>
      <c r="N119" s="1">
        <f>COS(0.5*E119*PI()/180)</f>
        <v>1</v>
      </c>
      <c r="O119" s="1">
        <f>COS(0.5*E118*PI()/180)</f>
        <v>1</v>
      </c>
    </row>
    <row r="120" spans="2:18" hidden="1" x14ac:dyDescent="0.2">
      <c r="E120" s="1">
        <v>0</v>
      </c>
      <c r="G120" s="1" t="s">
        <v>854</v>
      </c>
      <c r="H120" s="19">
        <f>H119*H113-I119*I113-J119*J113-K119*K113</f>
        <v>1</v>
      </c>
      <c r="I120" s="19">
        <f>H119*I113+I119*H113+J119*K113-K119*J113</f>
        <v>0</v>
      </c>
      <c r="J120" s="19">
        <f>H119*J113-I119*K113+J119*H113+K119*I113</f>
        <v>0</v>
      </c>
      <c r="K120" s="19">
        <f>H119*K113+I119*J113-J119*I113+K119*H113</f>
        <v>0</v>
      </c>
      <c r="L120" s="20" t="s">
        <v>35</v>
      </c>
      <c r="M120" s="1">
        <f>SIN(-0.5*E120*PI()/180)</f>
        <v>0</v>
      </c>
      <c r="N120" s="1">
        <f>SIN(0.5*E119*PI()/180)</f>
        <v>0</v>
      </c>
      <c r="O120" s="1">
        <f>SIN(0.5*E118*PI()/180)</f>
        <v>0</v>
      </c>
    </row>
    <row r="121" spans="2:18" hidden="1" x14ac:dyDescent="0.2">
      <c r="E121" s="1"/>
      <c r="G121" s="1" t="s">
        <v>848</v>
      </c>
      <c r="H121" s="1">
        <f>J120</f>
        <v>0</v>
      </c>
      <c r="I121" s="1">
        <f>I120</f>
        <v>0</v>
      </c>
      <c r="J121" s="1">
        <f>K120</f>
        <v>0</v>
      </c>
      <c r="K121" s="1">
        <f>H120</f>
        <v>1</v>
      </c>
      <c r="L121" s="20"/>
      <c r="M121" s="1"/>
      <c r="N121" s="1"/>
      <c r="O121" s="1"/>
    </row>
    <row r="122" spans="2:18" hidden="1" x14ac:dyDescent="0.2">
      <c r="E122" s="1"/>
      <c r="G122" s="1"/>
      <c r="H122" s="19" t="s">
        <v>36</v>
      </c>
      <c r="I122" s="19" t="s">
        <v>37</v>
      </c>
      <c r="J122" s="19" t="s">
        <v>38</v>
      </c>
      <c r="K122" s="19" t="s">
        <v>882</v>
      </c>
      <c r="L122" s="19" t="s">
        <v>881</v>
      </c>
      <c r="M122" s="19" t="s">
        <v>523</v>
      </c>
      <c r="N122" s="19"/>
      <c r="O122" s="19"/>
    </row>
    <row r="123" spans="2:18" hidden="1" x14ac:dyDescent="0.2">
      <c r="E123" s="1"/>
      <c r="G123" s="1" t="s">
        <v>39</v>
      </c>
      <c r="H123" s="19">
        <f>-2*H120*I120+2*J120*K120</f>
        <v>0</v>
      </c>
      <c r="I123" s="19">
        <f>2*H120*J120+2*I120*K120</f>
        <v>0</v>
      </c>
      <c r="J123" s="19">
        <f>H120*H120-I120*I120-J120*J120+K120*K120</f>
        <v>1</v>
      </c>
      <c r="K123" s="19">
        <f>IF(ABS(I123)&lt;0.99999,ATAN(I123/SQRT(H123*H123+J123*J123)),SIGN(I123)*1000)</f>
        <v>0</v>
      </c>
      <c r="L123" s="19">
        <f>IF(ABS(I123)&lt;0.99999,180/PI()*ATAN(I123/SQRT(H123*H123+J123*J123)),SIGN(I123)*90)</f>
        <v>0</v>
      </c>
      <c r="M123" s="19">
        <f>IF(ABS(H123)&gt;0.00001,IF(H123&gt;0,90-180/PI()*ATAN(J123/H123),-90-180/PI()*ATAN(J123/H123)),-90+SIGN(J123)*90)</f>
        <v>0</v>
      </c>
      <c r="N123" s="19"/>
      <c r="O123" s="19"/>
    </row>
    <row r="124" spans="2:18" hidden="1" x14ac:dyDescent="0.2">
      <c r="E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2:18" hidden="1" x14ac:dyDescent="0.2">
      <c r="E125" s="1">
        <v>0</v>
      </c>
      <c r="G125" s="1"/>
      <c r="H125" s="1" t="s">
        <v>860</v>
      </c>
      <c r="I125" s="1" t="s">
        <v>861</v>
      </c>
      <c r="J125" s="1" t="s">
        <v>862</v>
      </c>
      <c r="K125" s="1" t="s">
        <v>863</v>
      </c>
      <c r="L125" s="1"/>
      <c r="M125" s="1" t="s">
        <v>163</v>
      </c>
      <c r="N125" s="1" t="s">
        <v>526</v>
      </c>
      <c r="O125" s="1" t="s">
        <v>527</v>
      </c>
    </row>
    <row r="126" spans="2:18" hidden="1" x14ac:dyDescent="0.2">
      <c r="E126" s="1">
        <v>0</v>
      </c>
      <c r="G126" s="1" t="s">
        <v>864</v>
      </c>
      <c r="H126" s="19">
        <f>M126*N126*O126+M127*N127*O127</f>
        <v>0.45864944179123557</v>
      </c>
      <c r="I126" s="19">
        <f>M127*N126*O126-M126*N127*O127</f>
        <v>0.88861729082017527</v>
      </c>
      <c r="J126" s="19">
        <f>M126*N127*O126+M127*N126*O127</f>
        <v>0</v>
      </c>
      <c r="K126" s="19">
        <f>M126*N126*O127-M127*N127*O126</f>
        <v>0</v>
      </c>
      <c r="L126" s="20" t="s">
        <v>34</v>
      </c>
      <c r="M126" s="1">
        <f>COS(-0.5*E127*PI()/180)</f>
        <v>0.45864944179123557</v>
      </c>
      <c r="N126" s="1">
        <f>COS(0.5*E126*PI()/180)</f>
        <v>1</v>
      </c>
      <c r="O126" s="1">
        <f>COS(0.5*E125*PI()/180)</f>
        <v>1</v>
      </c>
    </row>
    <row r="127" spans="2:18" hidden="1" x14ac:dyDescent="0.2">
      <c r="E127" s="1">
        <f>Q21-90</f>
        <v>-125.40001453232593</v>
      </c>
      <c r="G127" s="1" t="s">
        <v>865</v>
      </c>
      <c r="H127" s="19">
        <f>H126*H120-I126*I120-J126*J120-K126*K120</f>
        <v>0.45864944179123557</v>
      </c>
      <c r="I127" s="19">
        <f>H126*I120+I126*H120+J126*K120-K126*J120</f>
        <v>0.88861729082017527</v>
      </c>
      <c r="J127" s="19">
        <f>H126*J120-I126*K120+J126*H120+K126*I120</f>
        <v>0</v>
      </c>
      <c r="K127" s="19">
        <f>H126*K120+I126*J120-J126*I120+K126*H120</f>
        <v>0</v>
      </c>
      <c r="L127" s="20" t="s">
        <v>35</v>
      </c>
      <c r="M127" s="1">
        <f>SIN(-0.5*E127*PI()/180)</f>
        <v>0.88861729082017527</v>
      </c>
      <c r="N127" s="1">
        <f>SIN(0.5*E126*PI()/180)</f>
        <v>0</v>
      </c>
      <c r="O127" s="1">
        <f>SIN(0.5*E125*PI()/180)</f>
        <v>0</v>
      </c>
    </row>
    <row r="128" spans="2:18" hidden="1" x14ac:dyDescent="0.2">
      <c r="G128" s="1" t="s">
        <v>848</v>
      </c>
      <c r="H128" s="1">
        <f>J127</f>
        <v>0</v>
      </c>
      <c r="I128" s="1">
        <f>I127</f>
        <v>0.88861729082017527</v>
      </c>
      <c r="J128" s="1">
        <f>K127</f>
        <v>0</v>
      </c>
      <c r="K128" s="1">
        <f>H127</f>
        <v>0.45864944179123557</v>
      </c>
      <c r="L128" s="20"/>
      <c r="M128" s="1"/>
      <c r="N128" s="1"/>
      <c r="O128" s="1"/>
    </row>
    <row r="129" spans="1:19" hidden="1" x14ac:dyDescent="0.2">
      <c r="G129" s="1"/>
      <c r="H129" s="19" t="s">
        <v>36</v>
      </c>
      <c r="I129" s="19" t="s">
        <v>37</v>
      </c>
      <c r="J129" s="19" t="s">
        <v>38</v>
      </c>
      <c r="K129" s="19" t="s">
        <v>882</v>
      </c>
      <c r="L129" s="19" t="s">
        <v>881</v>
      </c>
      <c r="M129" s="19" t="s">
        <v>523</v>
      </c>
      <c r="N129" s="19"/>
      <c r="O129" s="19"/>
    </row>
    <row r="130" spans="1:19" hidden="1" x14ac:dyDescent="0.2">
      <c r="G130" s="1" t="s">
        <v>39</v>
      </c>
      <c r="H130" s="19">
        <f>-2*H127*I127+2*J127*K127</f>
        <v>-0.81512764880142685</v>
      </c>
      <c r="I130" s="19">
        <f>2*H127*J127+2*I127*K127</f>
        <v>0</v>
      </c>
      <c r="J130" s="19">
        <f>H127*H127-I127*I127-J127*J127+K127*K127</f>
        <v>-0.57928137908917599</v>
      </c>
      <c r="K130" s="19">
        <f>IF(ABS(I130)&lt;0.99999,ATAN(I130/SQRT(H130*H130+J130*J130)),SIGN(I130)*1000)</f>
        <v>0</v>
      </c>
      <c r="L130" s="19">
        <f>IF(ABS(I130)&lt;0.99999,180/PI()*ATAN(I130/SQRT(H130*H130+J130*J130)),SIGN(I130)*90)</f>
        <v>0</v>
      </c>
      <c r="M130" s="19">
        <f>IF(ABS(H130)&gt;0.00001,IF(H130&gt;0,90-180/PI()*ATAN(J130/H130),-90-180/PI()*ATAN(J130/H130)),-90+SIGN(J130)*90)</f>
        <v>-125.40001453232591</v>
      </c>
      <c r="N130" s="19"/>
      <c r="O130" s="19"/>
    </row>
    <row r="131" spans="1:19" x14ac:dyDescent="0.2">
      <c r="A131" s="56" t="s">
        <v>877</v>
      </c>
      <c r="B131" s="65" t="str">
        <f>CONCATENATE(TEXT(H128,"0.000000")," ",TEXT(I128,"0.000000")," ",TEXT(J128,"0.000000")," ",TEXT(K128,"0.000000"))</f>
        <v>0.000000 0.888617 0.000000 0.458649</v>
      </c>
      <c r="D131" s="2"/>
      <c r="E131" s="2"/>
      <c r="F131" s="59"/>
      <c r="G131" s="13"/>
      <c r="H131" s="15"/>
      <c r="I131" s="2"/>
      <c r="J131" s="2"/>
      <c r="K131" s="2"/>
      <c r="R131" s="59"/>
    </row>
    <row r="132" spans="1:19" s="28" customFormat="1" ht="13.5" thickBot="1" x14ac:dyDescent="0.25"/>
    <row r="133" spans="1:19" x14ac:dyDescent="0.2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</row>
    <row r="134" spans="1:19" x14ac:dyDescent="0.2">
      <c r="A134" s="82" t="s">
        <v>1302</v>
      </c>
      <c r="B134" s="10"/>
      <c r="C134" s="10"/>
      <c r="D134" s="10"/>
      <c r="E134" s="10"/>
    </row>
    <row r="136" spans="1:19" x14ac:dyDescent="0.2">
      <c r="A136" s="82" t="s">
        <v>621</v>
      </c>
      <c r="B136" s="11"/>
      <c r="C136" s="11"/>
      <c r="D136" s="11"/>
      <c r="E136" s="11"/>
      <c r="F136" s="11"/>
      <c r="G136" s="11"/>
      <c r="H136" s="11"/>
      <c r="R136" s="10"/>
      <c r="S136" s="10"/>
    </row>
    <row r="137" spans="1:19" s="28" customFormat="1" ht="13.5" thickBot="1" x14ac:dyDescent="0.25">
      <c r="A137" s="79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8"/>
  <sheetViews>
    <sheetView workbookViewId="0">
      <selection activeCell="A2" sqref="A2"/>
    </sheetView>
  </sheetViews>
  <sheetFormatPr defaultRowHeight="12.75" x14ac:dyDescent="0.2"/>
  <cols>
    <col min="2" max="2" width="10.5703125" customWidth="1"/>
    <col min="13" max="18" width="0" hidden="1" customWidth="1"/>
  </cols>
  <sheetData>
    <row r="1" spans="1:3" s="5" customFormat="1" x14ac:dyDescent="0.2">
      <c r="A1" s="14" t="s">
        <v>355</v>
      </c>
      <c r="B1" s="14"/>
    </row>
    <row r="3" spans="1:3" x14ac:dyDescent="0.2">
      <c r="A3" s="33" t="s">
        <v>356</v>
      </c>
    </row>
    <row r="4" spans="1:3" x14ac:dyDescent="0.2">
      <c r="B4" t="s">
        <v>336</v>
      </c>
    </row>
    <row r="6" spans="1:3" x14ac:dyDescent="0.2">
      <c r="A6" t="s">
        <v>1191</v>
      </c>
    </row>
    <row r="7" spans="1:3" x14ac:dyDescent="0.2">
      <c r="B7" t="s">
        <v>826</v>
      </c>
    </row>
    <row r="9" spans="1:3" x14ac:dyDescent="0.2">
      <c r="A9" t="s">
        <v>537</v>
      </c>
    </row>
    <row r="10" spans="1:3" x14ac:dyDescent="0.2">
      <c r="B10" t="s">
        <v>1078</v>
      </c>
    </row>
    <row r="11" spans="1:3" x14ac:dyDescent="0.2">
      <c r="B11" t="s">
        <v>538</v>
      </c>
    </row>
    <row r="12" spans="1:3" x14ac:dyDescent="0.2">
      <c r="C12" t="s">
        <v>539</v>
      </c>
    </row>
    <row r="13" spans="1:3" x14ac:dyDescent="0.2">
      <c r="B13" t="s">
        <v>337</v>
      </c>
    </row>
    <row r="14" spans="1:3" x14ac:dyDescent="0.2">
      <c r="B14" t="s">
        <v>572</v>
      </c>
    </row>
    <row r="16" spans="1:3" x14ac:dyDescent="0.2">
      <c r="A16" t="s">
        <v>540</v>
      </c>
      <c r="B16" t="s">
        <v>543</v>
      </c>
    </row>
    <row r="17" spans="1:26" x14ac:dyDescent="0.2">
      <c r="B17" t="s">
        <v>570</v>
      </c>
    </row>
    <row r="18" spans="1:26" x14ac:dyDescent="0.2">
      <c r="B18" t="s">
        <v>571</v>
      </c>
    </row>
    <row r="19" spans="1:26" x14ac:dyDescent="0.2">
      <c r="B19" t="s">
        <v>542</v>
      </c>
    </row>
    <row r="20" spans="1:26" x14ac:dyDescent="0.2">
      <c r="B20" t="s">
        <v>22</v>
      </c>
    </row>
    <row r="21" spans="1:26" x14ac:dyDescent="0.2">
      <c r="B21" t="s">
        <v>541</v>
      </c>
    </row>
    <row r="22" spans="1:26" s="28" customFormat="1" ht="13.5" thickBot="1" x14ac:dyDescent="0.25"/>
    <row r="23" spans="1:26" s="27" customFormat="1" x14ac:dyDescent="0.2">
      <c r="A23" s="8" t="s">
        <v>544</v>
      </c>
      <c r="B23" s="8"/>
      <c r="C23" s="8"/>
      <c r="D23" s="8"/>
      <c r="E23" s="8"/>
      <c r="F23" s="8"/>
    </row>
    <row r="24" spans="1:26" x14ac:dyDescent="0.2">
      <c r="A24" s="15"/>
      <c r="B24" s="15"/>
      <c r="C24" s="15"/>
      <c r="D24" s="15"/>
      <c r="E24" s="15"/>
      <c r="F24" s="15"/>
      <c r="G24" s="2"/>
      <c r="H24" s="2"/>
    </row>
    <row r="25" spans="1:26" x14ac:dyDescent="0.2">
      <c r="A25" s="82" t="s">
        <v>1235</v>
      </c>
      <c r="B25" s="11"/>
      <c r="C25" s="11"/>
      <c r="D25" s="11"/>
      <c r="E25" s="11"/>
    </row>
    <row r="27" spans="1:26" x14ac:dyDescent="0.2">
      <c r="A27" t="s">
        <v>545</v>
      </c>
    </row>
    <row r="28" spans="1:26" x14ac:dyDescent="0.2">
      <c r="B28" t="s">
        <v>692</v>
      </c>
    </row>
    <row r="30" spans="1:26" x14ac:dyDescent="0.2">
      <c r="B30" s="82" t="s">
        <v>1195</v>
      </c>
      <c r="C30" s="11"/>
      <c r="D30" s="11"/>
      <c r="E30" s="11"/>
      <c r="F30" s="70">
        <v>2</v>
      </c>
      <c r="S30" s="1"/>
      <c r="T30" s="1"/>
      <c r="U30" s="1"/>
    </row>
    <row r="31" spans="1:26" x14ac:dyDescent="0.2">
      <c r="O31" s="19" t="s">
        <v>937</v>
      </c>
      <c r="P31" s="19" t="s">
        <v>938</v>
      </c>
      <c r="Q31" s="19" t="s">
        <v>939</v>
      </c>
      <c r="R31" s="19" t="s">
        <v>940</v>
      </c>
      <c r="S31" s="1"/>
      <c r="T31" s="1"/>
      <c r="U31" s="1"/>
      <c r="V31" s="34"/>
      <c r="W31" s="1"/>
      <c r="X31" s="34"/>
      <c r="Y31" s="34"/>
      <c r="Z31" s="1"/>
    </row>
    <row r="32" spans="1:26" x14ac:dyDescent="0.2">
      <c r="A32" s="87" t="s">
        <v>1193</v>
      </c>
      <c r="B32" s="11" t="s">
        <v>57</v>
      </c>
      <c r="C32" s="11"/>
      <c r="D32" s="11"/>
      <c r="E32" s="11"/>
      <c r="F32" s="11"/>
      <c r="G32" s="11"/>
      <c r="H32" s="11"/>
      <c r="I32" s="67" t="s">
        <v>585</v>
      </c>
      <c r="N32" s="1" t="s">
        <v>936</v>
      </c>
      <c r="O32" s="19">
        <f>VALUE(MID(I32,1,O33-1))</f>
        <v>1.23699E-2</v>
      </c>
      <c r="P32" s="19">
        <f>VALUE(MID(I32,O33+1,P33-O33-1))</f>
        <v>0.88100100000000003</v>
      </c>
      <c r="Q32" s="19">
        <f>VALUE(MID(I32,P33+1,Q33-P33-1))</f>
        <v>2.3069800000000001E-2</v>
      </c>
      <c r="R32" s="19">
        <f>VALUE(MID(I32,Q33+1,R33-Q33))</f>
        <v>0.472389</v>
      </c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42"/>
      <c r="C33" t="s">
        <v>175</v>
      </c>
      <c r="I33" s="2"/>
      <c r="O33" s="1">
        <f>SEARCH(" ",I32,1)</f>
        <v>10</v>
      </c>
      <c r="P33" s="1">
        <f>SEARCH(" ",I32,O33+1)</f>
        <v>19</v>
      </c>
      <c r="Q33" s="1">
        <f>SEARCH(" ",I32,P33+1)</f>
        <v>29</v>
      </c>
      <c r="R33" s="1">
        <f>LEN(I32)</f>
        <v>37</v>
      </c>
      <c r="S33" s="19"/>
      <c r="T33" s="2"/>
      <c r="U33" s="2"/>
      <c r="V33" s="2"/>
      <c r="W33" s="2"/>
      <c r="X33" s="2"/>
      <c r="Y33" s="2"/>
      <c r="Z33" s="2"/>
    </row>
    <row r="34" spans="1:26" x14ac:dyDescent="0.2">
      <c r="A34" s="42"/>
      <c r="B34" t="s">
        <v>540</v>
      </c>
      <c r="C34" t="s">
        <v>1192</v>
      </c>
      <c r="I34" s="2"/>
      <c r="O34" s="1"/>
      <c r="P34" s="1"/>
      <c r="Q34" s="1"/>
      <c r="R34" s="1"/>
      <c r="S34" s="19"/>
      <c r="T34" s="2"/>
      <c r="U34" s="2"/>
      <c r="V34" s="2"/>
      <c r="W34" s="2"/>
      <c r="X34" s="2"/>
      <c r="Y34" s="2"/>
      <c r="Z34" s="2"/>
    </row>
    <row r="35" spans="1:26" x14ac:dyDescent="0.2">
      <c r="A35" s="42"/>
      <c r="C35" t="s">
        <v>955</v>
      </c>
      <c r="I35" s="2"/>
      <c r="O35" s="1"/>
      <c r="P35" s="1"/>
      <c r="Q35" s="1"/>
      <c r="R35" s="1"/>
      <c r="S35" s="19"/>
      <c r="T35" s="2"/>
      <c r="U35" s="2"/>
      <c r="V35" s="2"/>
      <c r="W35" s="2"/>
      <c r="X35" s="2"/>
      <c r="Y35" s="2"/>
      <c r="Z35" s="2"/>
    </row>
    <row r="36" spans="1:26" x14ac:dyDescent="0.2">
      <c r="A36" s="42"/>
      <c r="C36" t="s">
        <v>959</v>
      </c>
      <c r="I36" s="2"/>
      <c r="O36" s="1"/>
      <c r="P36" s="1"/>
      <c r="Q36" s="1"/>
      <c r="R36" s="1"/>
      <c r="S36" s="19"/>
      <c r="T36" s="2"/>
      <c r="U36" s="2"/>
      <c r="V36" s="2"/>
      <c r="W36" s="2"/>
      <c r="X36" s="2"/>
      <c r="Y36" s="2"/>
      <c r="Z36" s="2"/>
    </row>
    <row r="37" spans="1:26" x14ac:dyDescent="0.2">
      <c r="A37" s="42"/>
      <c r="I37" s="2"/>
      <c r="O37" s="1"/>
      <c r="P37" s="1"/>
      <c r="Q37" s="1"/>
      <c r="R37" s="1"/>
      <c r="S37" s="19"/>
      <c r="T37" s="2"/>
      <c r="U37" s="2"/>
      <c r="V37" s="2"/>
      <c r="W37" s="2"/>
      <c r="X37" s="2"/>
      <c r="Y37" s="2"/>
      <c r="Z37" s="2"/>
    </row>
    <row r="38" spans="1:26" x14ac:dyDescent="0.2">
      <c r="A38" s="87" t="s">
        <v>1194</v>
      </c>
      <c r="B38" s="11" t="s">
        <v>693</v>
      </c>
      <c r="C38" s="11"/>
      <c r="D38" s="11"/>
      <c r="E38" s="11"/>
      <c r="F38" s="11"/>
      <c r="I38" s="2"/>
      <c r="S38" s="19"/>
      <c r="T38" s="19"/>
      <c r="U38" s="19"/>
      <c r="V38" s="21"/>
      <c r="W38" s="2"/>
      <c r="X38" s="2"/>
      <c r="Y38" s="2"/>
      <c r="Z38" s="2"/>
    </row>
    <row r="39" spans="1:26" x14ac:dyDescent="0.2">
      <c r="B39" t="s">
        <v>954</v>
      </c>
      <c r="L39" s="63"/>
      <c r="S39" s="63"/>
      <c r="T39" s="19"/>
      <c r="U39" s="19"/>
      <c r="V39" s="21"/>
      <c r="W39" s="2"/>
      <c r="X39" s="2"/>
      <c r="Y39" s="2"/>
      <c r="Z39" s="2"/>
    </row>
    <row r="40" spans="1:26" hidden="1" x14ac:dyDescent="0.2">
      <c r="A40" s="26"/>
      <c r="N40" s="1" t="s">
        <v>941</v>
      </c>
      <c r="O40" s="1" t="s">
        <v>940</v>
      </c>
      <c r="P40" s="1" t="s">
        <v>938</v>
      </c>
      <c r="Q40" s="1" t="s">
        <v>937</v>
      </c>
      <c r="R40" s="1" t="s">
        <v>939</v>
      </c>
      <c r="S40" s="19"/>
      <c r="T40" s="19"/>
      <c r="U40" s="19"/>
      <c r="V40" s="21"/>
      <c r="W40" s="2"/>
      <c r="X40" s="2"/>
      <c r="Y40" s="2"/>
      <c r="Z40" s="2"/>
    </row>
    <row r="41" spans="1:26" hidden="1" x14ac:dyDescent="0.2">
      <c r="A41" s="26"/>
      <c r="H41" s="1" t="s">
        <v>547</v>
      </c>
      <c r="I41" s="1" t="s">
        <v>548</v>
      </c>
      <c r="J41" s="1" t="s">
        <v>549</v>
      </c>
      <c r="K41" s="1" t="s">
        <v>550</v>
      </c>
      <c r="O41" s="19">
        <f>R32</f>
        <v>0.472389</v>
      </c>
      <c r="P41" s="19">
        <f>P32</f>
        <v>0.88100100000000003</v>
      </c>
      <c r="Q41" s="19">
        <f>O32</f>
        <v>1.23699E-2</v>
      </c>
      <c r="R41" s="19">
        <f>Q32</f>
        <v>2.3069800000000001E-2</v>
      </c>
      <c r="S41" s="19"/>
      <c r="T41" s="19"/>
      <c r="U41" s="19"/>
      <c r="V41" s="21"/>
      <c r="W41" s="2"/>
      <c r="X41" s="2"/>
      <c r="Y41" s="2"/>
      <c r="Z41" s="2"/>
    </row>
    <row r="42" spans="1:26" hidden="1" x14ac:dyDescent="0.2">
      <c r="F42" s="1" t="s">
        <v>960</v>
      </c>
      <c r="H42" s="1">
        <f>'Turn about OBJECT axes'!H143</f>
        <v>6.124639640933683E-17</v>
      </c>
      <c r="I42" s="1">
        <f>'Turn about OBJECT axes'!I143</f>
        <v>1.1626046262855349E-18</v>
      </c>
      <c r="J42" s="1">
        <f>'Turn about OBJECT axes'!J143</f>
        <v>-1.8979004457047338E-2</v>
      </c>
      <c r="K42" s="1">
        <f>'Turn about OBJECT axes'!K143</f>
        <v>0.99982023479872872</v>
      </c>
      <c r="L42" s="19" t="s">
        <v>36</v>
      </c>
      <c r="M42" s="19" t="s">
        <v>37</v>
      </c>
      <c r="N42" s="19" t="s">
        <v>38</v>
      </c>
      <c r="O42" s="19" t="s">
        <v>882</v>
      </c>
      <c r="P42" s="19" t="s">
        <v>881</v>
      </c>
      <c r="Q42" s="21" t="s">
        <v>499</v>
      </c>
    </row>
    <row r="43" spans="1:26" hidden="1" x14ac:dyDescent="0.2">
      <c r="F43" s="1" t="s">
        <v>552</v>
      </c>
      <c r="G43" s="1"/>
      <c r="H43" s="1">
        <f>IF(F30=1,O41,H42)</f>
        <v>6.124639640933683E-17</v>
      </c>
      <c r="I43" s="1">
        <f>IF(F30=1,P41,I42)</f>
        <v>1.1626046262855349E-18</v>
      </c>
      <c r="J43" s="1">
        <f>IF(F30=1,Q41,J42)</f>
        <v>-1.8979004457047338E-2</v>
      </c>
      <c r="K43" s="1">
        <f>IF(F30=1,R41,K42)</f>
        <v>0.99982023479872872</v>
      </c>
      <c r="L43" s="19">
        <f>-2*H43*I43+2*J43*K43</f>
        <v>-3.7951185384982378E-2</v>
      </c>
      <c r="M43" s="19">
        <f>2*H43*J43+2*I43*K43</f>
        <v>0</v>
      </c>
      <c r="N43" s="19">
        <f>H43*H43-I43*I43-J43*J43+K43*K43</f>
        <v>0.99928029930280438</v>
      </c>
      <c r="O43" s="19">
        <f>IF(ABS(M43)&lt;0.99999,ATAN(M43/SQRT(L43*L43+N43*N43)),SIGN(M43)*1000)</f>
        <v>0</v>
      </c>
      <c r="P43" s="19">
        <f>IF(ABS(M43)&lt;0.99999,180/PI()*ATAN(M43/SQRT(L43*L43+N43*N43)),SIGN(M43)*90)</f>
        <v>0</v>
      </c>
      <c r="Q43" s="21">
        <f>IF(ABS(L43)&gt;0.00001,IF(L43&gt;0,90-180/PI()*ATAN(N43/L43),-90-180/PI()*ATAN(N43/L43)),-90+SIGN(N43)*90)</f>
        <v>-2.1749635278804789</v>
      </c>
    </row>
    <row r="44" spans="1:26" hidden="1" x14ac:dyDescent="0.2">
      <c r="F44" s="1" t="s">
        <v>848</v>
      </c>
      <c r="G44" s="1"/>
      <c r="H44" s="1">
        <f>J43</f>
        <v>-1.8979004457047338E-2</v>
      </c>
      <c r="I44" s="1">
        <f>I43</f>
        <v>1.1626046262855349E-18</v>
      </c>
      <c r="J44" s="1">
        <f>K43</f>
        <v>0.99982023479872872</v>
      </c>
      <c r="K44" s="1">
        <f>H43</f>
        <v>6.124639640933683E-17</v>
      </c>
      <c r="L44" s="19"/>
      <c r="M44" s="19"/>
      <c r="N44" s="19"/>
      <c r="O44" s="19"/>
      <c r="P44" s="19"/>
      <c r="Q44" s="19"/>
    </row>
    <row r="45" spans="1:26" hidden="1" x14ac:dyDescent="0.2">
      <c r="F45" s="1" t="s">
        <v>19</v>
      </c>
      <c r="G45" s="1"/>
      <c r="H45" s="19" t="str">
        <f>CONCATENATE(TEXT(H44,"0.000000")," ",TEXT(I44,"0.000000")," ",TEXT(J44,"0.000000")," ",TEXT(K44,"0.000000"))</f>
        <v>-0.018979 0.000000 0.999820 0.000000</v>
      </c>
      <c r="I45" s="1"/>
      <c r="J45" s="1"/>
      <c r="K45" s="1"/>
      <c r="L45" s="19"/>
      <c r="M45" s="19"/>
      <c r="N45" s="19"/>
      <c r="O45" s="19"/>
      <c r="P45" s="19"/>
      <c r="Q45" s="19"/>
    </row>
    <row r="46" spans="1:26" hidden="1" x14ac:dyDescent="0.2">
      <c r="F46" s="1"/>
      <c r="G46" s="1"/>
      <c r="H46" s="19"/>
      <c r="I46" s="1"/>
      <c r="J46" s="1"/>
      <c r="K46" s="1"/>
      <c r="L46" s="19"/>
      <c r="M46" s="19"/>
      <c r="N46" s="19"/>
      <c r="O46" s="19"/>
      <c r="P46" s="19"/>
      <c r="Q46" s="19"/>
    </row>
    <row r="47" spans="1:26" s="45" customFormat="1" hidden="1" x14ac:dyDescent="0.2">
      <c r="A47" s="46"/>
      <c r="D47" s="51" t="s">
        <v>524</v>
      </c>
      <c r="E47" s="51">
        <v>0</v>
      </c>
      <c r="G47" s="1"/>
      <c r="H47" s="1" t="s">
        <v>860</v>
      </c>
      <c r="I47" s="1" t="s">
        <v>861</v>
      </c>
      <c r="J47" s="1" t="s">
        <v>862</v>
      </c>
      <c r="K47" s="1" t="s">
        <v>863</v>
      </c>
      <c r="L47" s="1"/>
      <c r="M47" s="1" t="s">
        <v>163</v>
      </c>
      <c r="N47" s="1" t="s">
        <v>526</v>
      </c>
      <c r="O47" s="1" t="s">
        <v>527</v>
      </c>
    </row>
    <row r="48" spans="1:26" s="45" customFormat="1" hidden="1" x14ac:dyDescent="0.2">
      <c r="A48" s="46"/>
      <c r="D48" s="51" t="s">
        <v>525</v>
      </c>
      <c r="E48" s="51">
        <v>0</v>
      </c>
      <c r="G48" s="1" t="s">
        <v>864</v>
      </c>
      <c r="H48" s="19">
        <f>M48*N48*O48+M49*N49*O49</f>
        <v>0.99981988260065635</v>
      </c>
      <c r="I48" s="19">
        <f>M49*N48*O48-M48*N49*O49</f>
        <v>-1.8978997771476748E-2</v>
      </c>
      <c r="J48" s="19">
        <f>M48*N49*O48+M49*N48*O49</f>
        <v>0</v>
      </c>
      <c r="K48" s="19">
        <f>M48*N48*O49-M49*N49*O48</f>
        <v>0</v>
      </c>
      <c r="L48" s="20" t="s">
        <v>34</v>
      </c>
      <c r="M48" s="1">
        <f>COS(-0.5*E49*PI()/180)</f>
        <v>0.99981988260065635</v>
      </c>
      <c r="N48" s="1">
        <f>COS(0.5*E48*PI()/180)</f>
        <v>1</v>
      </c>
      <c r="O48" s="1">
        <f>COS(0.5*E47*PI()/180)</f>
        <v>1</v>
      </c>
    </row>
    <row r="49" spans="1:20" s="45" customFormat="1" hidden="1" x14ac:dyDescent="0.2">
      <c r="A49" s="46"/>
      <c r="D49" s="51" t="s">
        <v>164</v>
      </c>
      <c r="E49" s="51">
        <f>-Q43</f>
        <v>2.1749635278804789</v>
      </c>
      <c r="G49" s="1" t="s">
        <v>421</v>
      </c>
      <c r="H49" s="19">
        <f>H48*H43-I48*I43-J48*J43-K48*K43</f>
        <v>6.1257429938307789E-17</v>
      </c>
      <c r="I49" s="19">
        <f>H48*I43+I48*H43+J48*K43-K48*J43</f>
        <v>-1.9259299443872359E-33</v>
      </c>
      <c r="J49" s="19">
        <f>H48*J43-I48*K43+J48*H43+K48*I43</f>
        <v>2.7755575615628914E-17</v>
      </c>
      <c r="K49" s="19">
        <f>H48*K43+I48*J43-J48*I43+K48*H43</f>
        <v>1.0000003522615206</v>
      </c>
      <c r="L49" s="20" t="s">
        <v>35</v>
      </c>
      <c r="M49" s="1">
        <f>SIN(-0.5*E49*PI()/180)</f>
        <v>-1.8978997771476748E-2</v>
      </c>
      <c r="N49" s="1">
        <f>SIN(0.5*E48*PI()/180)</f>
        <v>0</v>
      </c>
      <c r="O49" s="1">
        <f>SIN(0.5*E47*PI()/180)</f>
        <v>0</v>
      </c>
    </row>
    <row r="50" spans="1:20" s="45" customFormat="1" hidden="1" x14ac:dyDescent="0.2">
      <c r="A50" s="46"/>
      <c r="E50" s="51"/>
      <c r="G50" s="1" t="s">
        <v>848</v>
      </c>
      <c r="H50" s="1">
        <f>J49</f>
        <v>2.7755575615628914E-17</v>
      </c>
      <c r="I50" s="1">
        <f>I49</f>
        <v>-1.9259299443872359E-33</v>
      </c>
      <c r="J50" s="1">
        <f>K49</f>
        <v>1.0000003522615206</v>
      </c>
      <c r="K50" s="1">
        <f>H49</f>
        <v>6.1257429938307789E-17</v>
      </c>
      <c r="L50" s="20"/>
      <c r="M50" s="1"/>
      <c r="N50" s="1"/>
      <c r="O50" s="1"/>
    </row>
    <row r="51" spans="1:20" s="45" customFormat="1" hidden="1" x14ac:dyDescent="0.2">
      <c r="A51" s="46"/>
      <c r="E51" s="51"/>
      <c r="G51" s="1"/>
      <c r="H51" s="19" t="s">
        <v>36</v>
      </c>
      <c r="I51" s="19" t="s">
        <v>37</v>
      </c>
      <c r="J51" s="19" t="s">
        <v>38</v>
      </c>
      <c r="K51" s="19" t="s">
        <v>882</v>
      </c>
      <c r="L51" s="21" t="s">
        <v>881</v>
      </c>
      <c r="M51" s="53" t="s">
        <v>523</v>
      </c>
      <c r="N51" s="19"/>
      <c r="O51" s="19"/>
    </row>
    <row r="52" spans="1:20" s="45" customFormat="1" hidden="1" x14ac:dyDescent="0.2">
      <c r="A52" s="46"/>
      <c r="E52" s="51"/>
      <c r="G52" s="1" t="s">
        <v>39</v>
      </c>
      <c r="H52" s="19">
        <f>-2*H49*I49+2*J49*K49</f>
        <v>5.5511170785700371E-17</v>
      </c>
      <c r="I52" s="19">
        <f>2*H49*J49+2*I49*K49</f>
        <v>-4.5139078829290868E-34</v>
      </c>
      <c r="J52" s="19">
        <f>H49*H49-I49*I49-J49*J49+K49*K49</f>
        <v>1.0000007045231654</v>
      </c>
      <c r="K52" s="19">
        <f>IF(ABS(I52)&lt;0.99999,ATAN(I52/SQRT(H52*H52+J52*J52)),SIGN(I52)*1000)</f>
        <v>-4.5139047027786571E-34</v>
      </c>
      <c r="L52" s="21">
        <f>IF(ABS(I52)&lt;0.99999,180/PI()*ATAN(I52/SQRT(H52*H52+J52*J52)),SIGN(I52)*90)</f>
        <v>-2.5862768859347131E-32</v>
      </c>
      <c r="M52" s="20">
        <f>IF(ABS(H52)&gt;0.00001,IF(H52&gt;0,90-180/PI()*ATAN(J52/H52),-90-180/PI()*ATAN(J52/H52)),-90+SIGN(J52)*90)</f>
        <v>0</v>
      </c>
      <c r="N52" s="19"/>
      <c r="O52" s="19"/>
    </row>
    <row r="53" spans="1:20" s="45" customFormat="1" hidden="1" x14ac:dyDescent="0.2">
      <c r="A53" s="46"/>
      <c r="E53" s="51"/>
    </row>
    <row r="54" spans="1:20" s="45" customFormat="1" hidden="1" x14ac:dyDescent="0.2">
      <c r="A54" s="46"/>
      <c r="D54" s="51" t="s">
        <v>524</v>
      </c>
      <c r="E54" s="51">
        <v>0</v>
      </c>
      <c r="G54" s="1"/>
      <c r="H54" s="1" t="s">
        <v>860</v>
      </c>
      <c r="I54" s="1" t="s">
        <v>861</v>
      </c>
      <c r="J54" s="1" t="s">
        <v>862</v>
      </c>
      <c r="K54" s="1" t="s">
        <v>863</v>
      </c>
      <c r="L54" s="1"/>
      <c r="M54" s="1" t="s">
        <v>163</v>
      </c>
      <c r="N54" s="1" t="s">
        <v>526</v>
      </c>
      <c r="O54" s="1" t="s">
        <v>527</v>
      </c>
    </row>
    <row r="55" spans="1:20" s="45" customFormat="1" hidden="1" x14ac:dyDescent="0.2">
      <c r="A55" s="46"/>
      <c r="D55" s="51" t="s">
        <v>525</v>
      </c>
      <c r="E55" s="51">
        <f>-P43</f>
        <v>0</v>
      </c>
      <c r="G55" s="1" t="s">
        <v>864</v>
      </c>
      <c r="H55" s="19">
        <f>M55*N55*O55+M56*N56*O56</f>
        <v>1</v>
      </c>
      <c r="I55" s="19">
        <f>M56*N55*O55-M55*N56*O56</f>
        <v>0</v>
      </c>
      <c r="J55" s="19">
        <f>M55*N56*O55+M56*N55*O56</f>
        <v>0</v>
      </c>
      <c r="K55" s="19">
        <f>M55*N55*O56-M56*N56*O55</f>
        <v>0</v>
      </c>
      <c r="L55" s="20" t="s">
        <v>34</v>
      </c>
      <c r="M55" s="1">
        <f>COS(-0.5*E56*PI()/180)</f>
        <v>1</v>
      </c>
      <c r="N55" s="1">
        <f>COS(0.5*E55*PI()/180)</f>
        <v>1</v>
      </c>
      <c r="O55" s="1">
        <f>COS(0.5*E54*PI()/180)</f>
        <v>1</v>
      </c>
    </row>
    <row r="56" spans="1:20" s="45" customFormat="1" hidden="1" x14ac:dyDescent="0.2">
      <c r="A56" s="46"/>
      <c r="D56" s="51" t="s">
        <v>164</v>
      </c>
      <c r="E56" s="51">
        <v>0</v>
      </c>
      <c r="G56" s="1" t="s">
        <v>351</v>
      </c>
      <c r="H56" s="19">
        <f>H55*H49-I55*I49-J55*J49-K55*K49</f>
        <v>6.1257429938307789E-17</v>
      </c>
      <c r="I56" s="19">
        <f>H55*I49+I55*H49+J55*K49-K55*J49</f>
        <v>-1.9259299443872359E-33</v>
      </c>
      <c r="J56" s="19">
        <f>H55*J49-I55*K49+J55*H49+K55*I49</f>
        <v>2.7755575615628914E-17</v>
      </c>
      <c r="K56" s="19">
        <f>H55*K49+I55*J49-J55*I49+K55*H49</f>
        <v>1.0000003522615206</v>
      </c>
      <c r="L56" s="20" t="s">
        <v>35</v>
      </c>
      <c r="M56" s="1">
        <f>SIN(-0.5*E56*PI()/180)</f>
        <v>0</v>
      </c>
      <c r="N56" s="1">
        <f>SIN(0.5*E55*PI()/180)</f>
        <v>0</v>
      </c>
      <c r="O56" s="1">
        <f>SIN(0.5*E54*PI()/180)</f>
        <v>0</v>
      </c>
    </row>
    <row r="57" spans="1:20" s="45" customFormat="1" hidden="1" x14ac:dyDescent="0.2">
      <c r="A57" s="46"/>
      <c r="G57" s="1" t="s">
        <v>848</v>
      </c>
      <c r="H57" s="1">
        <f>J56</f>
        <v>2.7755575615628914E-17</v>
      </c>
      <c r="I57" s="1">
        <f>I56</f>
        <v>-1.9259299443872359E-33</v>
      </c>
      <c r="J57" s="1">
        <f>K56</f>
        <v>1.0000003522615206</v>
      </c>
      <c r="K57" s="1">
        <f>H56</f>
        <v>6.1257429938307789E-17</v>
      </c>
      <c r="L57" s="53" t="s">
        <v>529</v>
      </c>
      <c r="M57" s="1"/>
      <c r="N57" s="1"/>
      <c r="O57" s="1">
        <f>SIGN(I56+J56+K56+0.000001)</f>
        <v>1</v>
      </c>
    </row>
    <row r="58" spans="1:20" s="45" customFormat="1" hidden="1" x14ac:dyDescent="0.2">
      <c r="A58" s="46"/>
      <c r="G58" s="1"/>
      <c r="H58" s="19" t="s">
        <v>36</v>
      </c>
      <c r="I58" s="19" t="s">
        <v>37</v>
      </c>
      <c r="J58" s="19" t="s">
        <v>38</v>
      </c>
      <c r="K58" s="19" t="s">
        <v>882</v>
      </c>
      <c r="L58" s="19" t="s">
        <v>881</v>
      </c>
      <c r="M58" s="19" t="s">
        <v>523</v>
      </c>
      <c r="N58" s="21" t="s">
        <v>528</v>
      </c>
      <c r="O58" s="19"/>
    </row>
    <row r="59" spans="1:20" s="45" customFormat="1" hidden="1" x14ac:dyDescent="0.2">
      <c r="A59" s="46"/>
      <c r="G59" s="1" t="s">
        <v>39</v>
      </c>
      <c r="H59" s="19">
        <f>-2*H56*I56+2*J56*K56</f>
        <v>5.5511170785700371E-17</v>
      </c>
      <c r="I59" s="19">
        <f>2*H56*J56+2*I56*K56</f>
        <v>-4.5139078829290868E-34</v>
      </c>
      <c r="J59" s="19">
        <f>H56*H56-I56*I56-J56*J56+K56*K56</f>
        <v>1.0000007045231654</v>
      </c>
      <c r="K59" s="19">
        <f>IF(ABS(I59)&lt;0.99999,ATAN(I59/SQRT(H59*H59+J59*J59)),SIGN(I59)*1000)</f>
        <v>-4.5139047027786571E-34</v>
      </c>
      <c r="L59" s="19">
        <f>IF(ABS(I59)&lt;0.99999,180/PI()*ATAN(I59/SQRT(H59*H59+J59*J59)),SIGN(I59)*90)</f>
        <v>-2.5862768859347131E-32</v>
      </c>
      <c r="M59" s="19">
        <f>IF(ABS(H59)&gt;0.00001,IF(H59&gt;0,90-180/PI()*ATAN(J59/H59),-90-180/PI()*ATAN(J59/H59)),-90+SIGN(J59)*90)</f>
        <v>0</v>
      </c>
      <c r="N59" s="21">
        <f>IF(ABS(H56)&lt;0.9999999,O57*2*180/PI()*ACOS(H56),0)</f>
        <v>180</v>
      </c>
      <c r="O59" s="19"/>
      <c r="T59"/>
    </row>
    <row r="60" spans="1:20" s="45" customFormat="1" hidden="1" x14ac:dyDescent="0.2">
      <c r="A60" s="46"/>
      <c r="G60" s="1"/>
      <c r="H60" s="19"/>
      <c r="I60" s="19"/>
      <c r="J60" s="19"/>
      <c r="K60" s="19"/>
      <c r="L60" s="19"/>
      <c r="M60" s="19"/>
      <c r="N60" s="21"/>
      <c r="O60" s="19"/>
      <c r="T60"/>
    </row>
    <row r="61" spans="1:20" hidden="1" x14ac:dyDescent="0.2">
      <c r="B61" s="3"/>
      <c r="D61" s="20" t="s">
        <v>451</v>
      </c>
      <c r="E61" s="1">
        <f>P43</f>
        <v>0</v>
      </c>
      <c r="G61" s="1"/>
      <c r="H61" s="1" t="s">
        <v>844</v>
      </c>
      <c r="I61" s="1" t="s">
        <v>845</v>
      </c>
      <c r="J61" s="1" t="s">
        <v>846</v>
      </c>
      <c r="K61" s="1" t="s">
        <v>847</v>
      </c>
      <c r="L61" s="1"/>
      <c r="M61" s="1" t="s">
        <v>163</v>
      </c>
      <c r="N61" s="1" t="s">
        <v>526</v>
      </c>
      <c r="O61" s="1" t="s">
        <v>527</v>
      </c>
    </row>
    <row r="62" spans="1:20" hidden="1" x14ac:dyDescent="0.2">
      <c r="B62" s="3"/>
      <c r="E62" s="1">
        <v>0</v>
      </c>
      <c r="G62" s="1" t="s">
        <v>856</v>
      </c>
      <c r="H62" s="19">
        <f>M62*N62*O62+M63*N63*O63</f>
        <v>1</v>
      </c>
      <c r="I62" s="19">
        <f>M63*N62*O62-M62*N63*O63</f>
        <v>0</v>
      </c>
      <c r="J62" s="19">
        <f>M62*N63*O62+M63*N62*O63</f>
        <v>0</v>
      </c>
      <c r="K62" s="19">
        <f>M62*N62*O63-M63*N63*O62</f>
        <v>0</v>
      </c>
      <c r="L62" s="20" t="s">
        <v>34</v>
      </c>
      <c r="M62" s="1">
        <f>COS(-0.5*E63*PI()/180)</f>
        <v>1</v>
      </c>
      <c r="N62" s="1">
        <f>COS(0.5*E62*PI()/180)</f>
        <v>1</v>
      </c>
      <c r="O62" s="1">
        <f>COS(0.5*E61*PI()/180)</f>
        <v>1</v>
      </c>
    </row>
    <row r="63" spans="1:20" hidden="1" x14ac:dyDescent="0.2">
      <c r="B63" s="3"/>
      <c r="E63" s="1">
        <v>0</v>
      </c>
      <c r="G63" s="1" t="s">
        <v>857</v>
      </c>
      <c r="H63" s="1">
        <f>J62</f>
        <v>0</v>
      </c>
      <c r="I63" s="1">
        <f>I62</f>
        <v>0</v>
      </c>
      <c r="J63" s="1">
        <f>K62</f>
        <v>0</v>
      </c>
      <c r="K63" s="1">
        <f>H62</f>
        <v>1</v>
      </c>
      <c r="L63" s="20" t="s">
        <v>35</v>
      </c>
      <c r="M63" s="1">
        <f>SIN(-0.5*E63*PI()/180)</f>
        <v>0</v>
      </c>
      <c r="N63" s="1">
        <f>SIN(0.5*E62*PI()/180)</f>
        <v>0</v>
      </c>
      <c r="O63" s="1">
        <f>SIN(0.5*E61*PI()/180)</f>
        <v>0</v>
      </c>
    </row>
    <row r="64" spans="1:20" hidden="1" x14ac:dyDescent="0.2">
      <c r="B64" s="3"/>
      <c r="E64" s="1"/>
      <c r="G64" s="1"/>
      <c r="H64" s="19" t="s">
        <v>36</v>
      </c>
      <c r="I64" s="19" t="s">
        <v>37</v>
      </c>
      <c r="J64" s="19" t="s">
        <v>38</v>
      </c>
      <c r="K64" s="19" t="s">
        <v>882</v>
      </c>
      <c r="L64" s="19" t="s">
        <v>881</v>
      </c>
      <c r="M64" s="19" t="s">
        <v>523</v>
      </c>
      <c r="N64" s="19"/>
      <c r="O64" s="19"/>
    </row>
    <row r="65" spans="4:16" hidden="1" x14ac:dyDescent="0.2">
      <c r="E65" s="1"/>
      <c r="G65" s="1" t="s">
        <v>39</v>
      </c>
      <c r="H65" s="19">
        <f>-2*H62*I62+2*J62*K62</f>
        <v>0</v>
      </c>
      <c r="I65" s="19">
        <f>2*H62*J62+2*I62*K62</f>
        <v>0</v>
      </c>
      <c r="J65" s="19">
        <f>H62*H62-I62*I62-J62*J62+K62*K62</f>
        <v>1</v>
      </c>
      <c r="K65" s="19">
        <f>IF(ABS(I65)&lt;0.99999,ATAN(I65/SQRT(H65*H65+J65*J65)),SIGN(I65)*1000)</f>
        <v>0</v>
      </c>
      <c r="L65" s="19">
        <f>IF(ABS(I65)&lt;0.99999,180/PI()*ATAN(I65/SQRT(H65*H65+J65*J65)),SIGN(I65)*90)</f>
        <v>0</v>
      </c>
      <c r="M65" s="19">
        <f>IF(ABS(H65)&gt;0.00001,IF(H65&gt;0,90-180/PI()*ATAN(J65/H65),-90-180/PI()*ATAN(J65/H65)),-90+SIGN(J65)*90)</f>
        <v>0</v>
      </c>
      <c r="N65" s="19"/>
      <c r="O65" s="19"/>
    </row>
    <row r="66" spans="4:16" hidden="1" x14ac:dyDescent="0.2">
      <c r="D66" s="20" t="s">
        <v>452</v>
      </c>
      <c r="E66" s="1"/>
      <c r="G66" s="1" t="s">
        <v>848</v>
      </c>
      <c r="H66" s="1">
        <f>-J44</f>
        <v>-0.99982023479872872</v>
      </c>
      <c r="I66" s="1">
        <f>-K44</f>
        <v>-6.124639640933683E-17</v>
      </c>
      <c r="J66" s="1">
        <f>H44</f>
        <v>-1.8979004457047338E-2</v>
      </c>
      <c r="K66" s="1">
        <f>I44</f>
        <v>1.1626046262855349E-18</v>
      </c>
      <c r="L66" s="21" t="s">
        <v>878</v>
      </c>
      <c r="M66" s="21" t="str">
        <f>CONCATENATE(TEXT(H66,"0.000000")," ",TEXT(I66,"0.000000")," ",TEXT(J66,"0.000000")," ",TEXT(K66,"0.000000"))</f>
        <v>-0.999820 0.000000 -0.018979 0.000000</v>
      </c>
      <c r="N66" s="19"/>
      <c r="O66" s="19"/>
      <c r="P66" s="19"/>
    </row>
    <row r="67" spans="4:16" hidden="1" x14ac:dyDescent="0.2">
      <c r="D67" s="20" t="s">
        <v>453</v>
      </c>
      <c r="E67" s="51">
        <v>0</v>
      </c>
      <c r="F67" s="45"/>
      <c r="G67" s="1"/>
      <c r="H67" s="1" t="s">
        <v>860</v>
      </c>
      <c r="I67" s="1" t="s">
        <v>861</v>
      </c>
      <c r="J67" s="1" t="s">
        <v>862</v>
      </c>
      <c r="K67" s="1" t="s">
        <v>863</v>
      </c>
      <c r="L67" s="1"/>
      <c r="M67" s="1" t="s">
        <v>163</v>
      </c>
      <c r="N67" s="1" t="s">
        <v>526</v>
      </c>
      <c r="O67" s="1" t="s">
        <v>527</v>
      </c>
      <c r="P67" s="19"/>
    </row>
    <row r="68" spans="4:16" hidden="1" x14ac:dyDescent="0.2">
      <c r="D68" s="20"/>
      <c r="E68" s="51">
        <v>0</v>
      </c>
      <c r="F68" s="45"/>
      <c r="G68" s="1" t="s">
        <v>864</v>
      </c>
      <c r="H68" s="19">
        <f>M68*N68*O68+M69*N69*O69</f>
        <v>0.99981988260065635</v>
      </c>
      <c r="I68" s="19">
        <f>M69*N68*O68-M68*N69*O69</f>
        <v>1.8978997771476748E-2</v>
      </c>
      <c r="J68" s="19">
        <f>M68*N69*O68+M69*N68*O69</f>
        <v>0</v>
      </c>
      <c r="K68" s="19">
        <f>M68*N68*O69-M69*N69*O68</f>
        <v>0</v>
      </c>
      <c r="L68" s="20" t="s">
        <v>34</v>
      </c>
      <c r="M68" s="1">
        <f>COS(-0.5*E69*PI()/180)</f>
        <v>0.99981988260065635</v>
      </c>
      <c r="N68" s="1">
        <f>COS(0.5*E68*PI()/180)</f>
        <v>1</v>
      </c>
      <c r="O68" s="1">
        <f>COS(0.5*E67*PI()/180)</f>
        <v>1</v>
      </c>
      <c r="P68" s="19"/>
    </row>
    <row r="69" spans="4:16" hidden="1" x14ac:dyDescent="0.2">
      <c r="D69" s="20"/>
      <c r="E69" s="51">
        <f>Q43</f>
        <v>-2.1749635278804789</v>
      </c>
      <c r="F69" s="45"/>
      <c r="G69" s="1"/>
      <c r="H69" s="19"/>
      <c r="I69" s="19"/>
      <c r="J69" s="19"/>
      <c r="K69" s="19"/>
      <c r="L69" s="20" t="s">
        <v>35</v>
      </c>
      <c r="M69" s="1">
        <f>SIN(-0.5*E69*PI()/180)</f>
        <v>1.8978997771476748E-2</v>
      </c>
      <c r="N69" s="1">
        <f>SIN(0.5*E68*PI()/180)</f>
        <v>0</v>
      </c>
      <c r="O69" s="1">
        <f>SIN(0.5*E67*PI()/180)</f>
        <v>0</v>
      </c>
      <c r="P69" s="19"/>
    </row>
    <row r="70" spans="4:16" hidden="1" x14ac:dyDescent="0.2">
      <c r="D70" s="20"/>
      <c r="E70" s="51"/>
      <c r="F70" s="45"/>
      <c r="G70" s="1" t="s">
        <v>848</v>
      </c>
      <c r="H70" s="1">
        <f>J68</f>
        <v>0</v>
      </c>
      <c r="I70" s="1">
        <f>I68</f>
        <v>1.8978997771476748E-2</v>
      </c>
      <c r="J70" s="1">
        <f>K68</f>
        <v>0</v>
      </c>
      <c r="K70" s="1">
        <f>H68</f>
        <v>0.99981988260065635</v>
      </c>
      <c r="L70" s="21" t="s">
        <v>878</v>
      </c>
      <c r="M70" s="21" t="str">
        <f>CONCATENATE(TEXT(H70,"0.000000")," ",TEXT(I70,"0.000000")," ",TEXT(J70,"0.000000")," ",TEXT(K70,"0.000000"))</f>
        <v>0.000000 0.018979 0.000000 0.999820</v>
      </c>
      <c r="N70" s="1"/>
      <c r="O70" s="1"/>
      <c r="P70" s="19"/>
    </row>
    <row r="71" spans="4:16" hidden="1" x14ac:dyDescent="0.2">
      <c r="D71" s="20" t="s">
        <v>454</v>
      </c>
      <c r="E71" s="1"/>
      <c r="G71" s="1" t="s">
        <v>848</v>
      </c>
      <c r="H71" s="1">
        <f>-J70</f>
        <v>0</v>
      </c>
      <c r="I71" s="1">
        <f>-K70</f>
        <v>-0.99981988260065635</v>
      </c>
      <c r="J71" s="1">
        <f>H70</f>
        <v>0</v>
      </c>
      <c r="K71" s="1">
        <f>I70</f>
        <v>1.8978997771476748E-2</v>
      </c>
      <c r="L71" s="21" t="s">
        <v>878</v>
      </c>
      <c r="M71" s="21" t="str">
        <f>CONCATENATE(TEXT(H71,"0.000000")," ",TEXT(I71,"0.000000")," ",TEXT(J71,"0.000000")," ",TEXT(K71,"0.000000"))</f>
        <v>0.000000 -0.999820 0.000000 0.018979</v>
      </c>
      <c r="N71" s="19"/>
      <c r="O71" s="19"/>
      <c r="P71" s="19"/>
    </row>
    <row r="72" spans="4:16" hidden="1" x14ac:dyDescent="0.2">
      <c r="D72" s="20" t="s">
        <v>828</v>
      </c>
      <c r="E72" s="1">
        <v>0</v>
      </c>
      <c r="G72" s="1"/>
      <c r="H72" s="1" t="s">
        <v>850</v>
      </c>
      <c r="I72" s="1" t="s">
        <v>851</v>
      </c>
      <c r="J72" s="1" t="s">
        <v>852</v>
      </c>
      <c r="K72" s="1" t="s">
        <v>853</v>
      </c>
      <c r="L72" s="1"/>
      <c r="M72" s="1" t="s">
        <v>163</v>
      </c>
      <c r="N72" s="1" t="s">
        <v>526</v>
      </c>
      <c r="O72" s="1" t="s">
        <v>527</v>
      </c>
    </row>
    <row r="73" spans="4:16" hidden="1" x14ac:dyDescent="0.2">
      <c r="E73" s="1">
        <v>0</v>
      </c>
      <c r="G73" s="1" t="s">
        <v>855</v>
      </c>
      <c r="H73" s="19">
        <f>M73*N73*O73+M74*N74*O74</f>
        <v>0.72039959697639766</v>
      </c>
      <c r="I73" s="19">
        <f>M74*N73*O73-M73*N74*O74</f>
        <v>-0.69355924092772625</v>
      </c>
      <c r="J73" s="19">
        <f>M73*N74*O73+M74*N73*O74</f>
        <v>0</v>
      </c>
      <c r="K73" s="19">
        <f>M73*N73*O74-M74*N74*O73</f>
        <v>0</v>
      </c>
      <c r="L73" s="20" t="s">
        <v>34</v>
      </c>
      <c r="M73" s="1">
        <f>COS(-0.5*E74*PI()/180)</f>
        <v>0.72039959697639766</v>
      </c>
      <c r="N73" s="1">
        <f>COS(0.5*E73*PI()/180)</f>
        <v>1</v>
      </c>
      <c r="O73" s="1">
        <f>COS(0.5*E72*PI()/180)</f>
        <v>1</v>
      </c>
    </row>
    <row r="74" spans="4:16" hidden="1" x14ac:dyDescent="0.2">
      <c r="E74" s="1">
        <f>Q43+90</f>
        <v>87.825036472119521</v>
      </c>
      <c r="G74" s="1" t="s">
        <v>854</v>
      </c>
      <c r="H74" s="19">
        <f>H73*H62-I73*I62-J73*J62-K73*K62</f>
        <v>0.72039959697639766</v>
      </c>
      <c r="I74" s="19">
        <f>H73*I62+I73*H62+J73*K62-K73*J62</f>
        <v>-0.69355924092772625</v>
      </c>
      <c r="J74" s="19">
        <f>H73*J62-I73*K62+J73*H62+K73*I62</f>
        <v>0</v>
      </c>
      <c r="K74" s="19">
        <f>H73*K62+I73*J62-J73*I62+K73*H62</f>
        <v>0</v>
      </c>
      <c r="L74" s="20" t="s">
        <v>35</v>
      </c>
      <c r="M74" s="1">
        <f>SIN(-0.5*E74*PI()/180)</f>
        <v>-0.69355924092772625</v>
      </c>
      <c r="N74" s="1">
        <f>SIN(0.5*E73*PI()/180)</f>
        <v>0</v>
      </c>
      <c r="O74" s="1">
        <f>SIN(0.5*E72*PI()/180)</f>
        <v>0</v>
      </c>
    </row>
    <row r="75" spans="4:16" hidden="1" x14ac:dyDescent="0.2">
      <c r="E75" s="1"/>
      <c r="G75" s="1" t="s">
        <v>848</v>
      </c>
      <c r="H75" s="1">
        <f>J74</f>
        <v>0</v>
      </c>
      <c r="I75" s="1">
        <f>I74</f>
        <v>-0.69355924092772625</v>
      </c>
      <c r="J75" s="1">
        <f>K74</f>
        <v>0</v>
      </c>
      <c r="K75" s="1">
        <f>H74</f>
        <v>0.72039959697639766</v>
      </c>
      <c r="L75" s="21" t="s">
        <v>878</v>
      </c>
      <c r="M75" s="21" t="str">
        <f>CONCATENATE(TEXT(H75,"0.000000")," ",TEXT(I75,"0.000000")," ",TEXT(J75,"0.000000")," ",TEXT(K75,"0.000000"))</f>
        <v>0.000000 -0.693559 0.000000 0.720400</v>
      </c>
      <c r="N75" s="19"/>
      <c r="O75" s="19"/>
      <c r="P75" s="19"/>
    </row>
    <row r="76" spans="4:16" hidden="1" x14ac:dyDescent="0.2">
      <c r="E76" s="1"/>
      <c r="G76" s="1"/>
      <c r="H76" s="19" t="s">
        <v>36</v>
      </c>
      <c r="I76" s="19" t="s">
        <v>37</v>
      </c>
      <c r="J76" s="19" t="s">
        <v>38</v>
      </c>
      <c r="K76" s="19" t="s">
        <v>882</v>
      </c>
      <c r="L76" s="19" t="s">
        <v>881</v>
      </c>
      <c r="M76" s="19" t="s">
        <v>523</v>
      </c>
      <c r="N76" s="19"/>
      <c r="O76" s="19"/>
    </row>
    <row r="77" spans="4:16" hidden="1" x14ac:dyDescent="0.2">
      <c r="E77" s="1"/>
      <c r="G77" s="1" t="s">
        <v>39</v>
      </c>
      <c r="H77" s="19">
        <f>-2*H74*I74+2*J74*K74</f>
        <v>0.99927959528718058</v>
      </c>
      <c r="I77" s="19">
        <f>2*H74*J74+2*I74*K74</f>
        <v>0</v>
      </c>
      <c r="J77" s="19">
        <f>H74*H74-I74*I74-J74*J74+K74*K74</f>
        <v>3.7951158647512306E-2</v>
      </c>
      <c r="K77" s="19">
        <f>IF(ABS(I77)&lt;0.99999,ATAN(I77/SQRT(H77*H77+J77*J77)),SIGN(I77)*1000)</f>
        <v>0</v>
      </c>
      <c r="L77" s="19">
        <f>IF(ABS(I77)&lt;0.99999,180/PI()*ATAN(I77/SQRT(H77*H77+J77*J77)),SIGN(I77)*90)</f>
        <v>0</v>
      </c>
      <c r="M77" s="19">
        <f>IF(ABS(H77)&gt;0.00001,IF(H77&gt;0,90-180/PI()*ATAN(J77/H77),-90-180/PI()*ATAN(J77/H77)),-90+SIGN(J77)*90)</f>
        <v>87.825036472119507</v>
      </c>
      <c r="N77" s="19"/>
      <c r="O77" s="19"/>
    </row>
    <row r="78" spans="4:16" hidden="1" x14ac:dyDescent="0.2">
      <c r="D78" s="20" t="s">
        <v>829</v>
      </c>
      <c r="G78" s="1" t="s">
        <v>848</v>
      </c>
      <c r="H78" s="1">
        <f>-J75</f>
        <v>0</v>
      </c>
      <c r="I78" s="1">
        <f>-K75</f>
        <v>-0.72039959697639766</v>
      </c>
      <c r="J78" s="1">
        <f>H75</f>
        <v>0</v>
      </c>
      <c r="K78" s="1">
        <f>I75</f>
        <v>-0.69355924092772625</v>
      </c>
      <c r="L78" s="21" t="s">
        <v>878</v>
      </c>
      <c r="M78" s="21" t="str">
        <f>CONCATENATE(TEXT(H78,"0.000000")," ",TEXT(I78,"0.000000")," ",TEXT(J78,"0.000000")," ",TEXT(K78,"0.000000"))</f>
        <v>0.000000 -0.720400 0.000000 -0.693559</v>
      </c>
      <c r="N78" s="19"/>
      <c r="O78" s="19"/>
      <c r="P78" s="19"/>
    </row>
    <row r="79" spans="4:16" hidden="1" x14ac:dyDescent="0.2">
      <c r="D79" s="20" t="s">
        <v>830</v>
      </c>
      <c r="G79" s="1" t="s">
        <v>848</v>
      </c>
      <c r="H79" s="1">
        <f>J73</f>
        <v>0</v>
      </c>
      <c r="I79" s="1">
        <f>I73</f>
        <v>-0.69355924092772625</v>
      </c>
      <c r="J79" s="1">
        <f>K73</f>
        <v>0</v>
      </c>
      <c r="K79" s="1">
        <f>H73</f>
        <v>0.72039959697639766</v>
      </c>
      <c r="L79" s="21" t="s">
        <v>878</v>
      </c>
      <c r="M79" s="21" t="str">
        <f>CONCATENATE(TEXT(H79,"0.000000")," ",TEXT(I79,"0.000000")," ",TEXT(J79,"0.000000")," ",TEXT(K79,"0.000000"))</f>
        <v>0.000000 -0.693559 0.000000 0.720400</v>
      </c>
      <c r="N79" s="19"/>
      <c r="O79" s="19"/>
      <c r="P79" s="19"/>
    </row>
    <row r="80" spans="4:16" hidden="1" x14ac:dyDescent="0.2">
      <c r="D80" s="20" t="s">
        <v>831</v>
      </c>
      <c r="G80" s="1" t="s">
        <v>848</v>
      </c>
      <c r="H80" s="1">
        <f>-J79</f>
        <v>0</v>
      </c>
      <c r="I80" s="1">
        <f>-K79</f>
        <v>-0.72039959697639766</v>
      </c>
      <c r="J80" s="1">
        <f>H79</f>
        <v>0</v>
      </c>
      <c r="K80" s="1">
        <f>I79</f>
        <v>-0.69355924092772625</v>
      </c>
      <c r="L80" s="21" t="s">
        <v>878</v>
      </c>
      <c r="M80" s="21" t="str">
        <f>CONCATENATE(TEXT(H80,"0.000000")," ",TEXT(I80,"0.000000")," ",TEXT(J80,"0.000000")," ",TEXT(K80,"0.000000"))</f>
        <v>0.000000 -0.720400 0.000000 -0.693559</v>
      </c>
      <c r="N80" s="19"/>
      <c r="O80" s="19"/>
      <c r="P80" s="19"/>
    </row>
    <row r="81" spans="1:20" s="45" customFormat="1" hidden="1" x14ac:dyDescent="0.2">
      <c r="A81" s="46"/>
      <c r="G81" s="1"/>
      <c r="H81" s="19"/>
      <c r="I81" s="19"/>
      <c r="J81" s="19"/>
      <c r="K81" s="19"/>
      <c r="L81" s="19"/>
      <c r="M81" s="19"/>
      <c r="N81" s="21"/>
      <c r="O81" s="19"/>
      <c r="T81"/>
    </row>
    <row r="82" spans="1:20" x14ac:dyDescent="0.2">
      <c r="L82" s="59"/>
      <c r="S82" s="59"/>
    </row>
    <row r="83" spans="1:20" x14ac:dyDescent="0.2">
      <c r="A83" s="82" t="s">
        <v>1236</v>
      </c>
      <c r="B83" s="11"/>
      <c r="C83" s="11"/>
      <c r="D83" s="11"/>
    </row>
    <row r="85" spans="1:20" x14ac:dyDescent="0.2">
      <c r="A85" s="41" t="s">
        <v>23</v>
      </c>
    </row>
    <row r="86" spans="1:20" x14ac:dyDescent="0.2">
      <c r="A86" s="41" t="s">
        <v>344</v>
      </c>
    </row>
    <row r="87" spans="1:20" x14ac:dyDescent="0.2">
      <c r="A87" s="41"/>
      <c r="B87" t="s">
        <v>739</v>
      </c>
    </row>
    <row r="88" spans="1:20" x14ac:dyDescent="0.2">
      <c r="B88" s="13" t="s">
        <v>553</v>
      </c>
    </row>
    <row r="89" spans="1:20" x14ac:dyDescent="0.2">
      <c r="H89" s="1" t="s">
        <v>40</v>
      </c>
      <c r="I89" s="1" t="s">
        <v>41</v>
      </c>
      <c r="J89" s="1" t="s">
        <v>42</v>
      </c>
    </row>
    <row r="90" spans="1:20" x14ac:dyDescent="0.2">
      <c r="B90" s="82" t="s">
        <v>554</v>
      </c>
      <c r="C90" s="11"/>
      <c r="D90" s="11"/>
      <c r="E90" s="70">
        <v>50</v>
      </c>
      <c r="F90" t="s">
        <v>12</v>
      </c>
      <c r="H90" s="1">
        <f>E90*L43</f>
        <v>-1.8975592692491188</v>
      </c>
      <c r="I90" s="1">
        <f>E90*M43</f>
        <v>0</v>
      </c>
      <c r="J90" s="1">
        <f>E90*N43</f>
        <v>49.964014965140215</v>
      </c>
    </row>
    <row r="92" spans="1:20" x14ac:dyDescent="0.2">
      <c r="A92" s="82" t="s">
        <v>1237</v>
      </c>
      <c r="B92" s="11"/>
      <c r="C92" s="11"/>
      <c r="D92" s="11"/>
    </row>
    <row r="94" spans="1:20" x14ac:dyDescent="0.2">
      <c r="A94" t="s">
        <v>558</v>
      </c>
    </row>
    <row r="95" spans="1:20" x14ac:dyDescent="0.2">
      <c r="B95" t="s">
        <v>555</v>
      </c>
    </row>
    <row r="96" spans="1:20" x14ac:dyDescent="0.2">
      <c r="B96" t="s">
        <v>740</v>
      </c>
    </row>
    <row r="98" spans="1:14" x14ac:dyDescent="0.2">
      <c r="B98" s="82" t="s">
        <v>557</v>
      </c>
      <c r="C98" s="11"/>
      <c r="D98" s="70">
        <v>-5764</v>
      </c>
      <c r="F98" s="82" t="s">
        <v>556</v>
      </c>
      <c r="G98" s="11"/>
      <c r="H98" s="70">
        <v>14672</v>
      </c>
    </row>
    <row r="100" spans="1:14" x14ac:dyDescent="0.2">
      <c r="A100" s="82" t="s">
        <v>1238</v>
      </c>
      <c r="B100" s="11"/>
      <c r="C100" s="11"/>
      <c r="D100" s="11"/>
      <c r="E100" s="11"/>
    </row>
    <row r="102" spans="1:14" x14ac:dyDescent="0.2">
      <c r="A102" t="s">
        <v>679</v>
      </c>
    </row>
    <row r="103" spans="1:14" x14ac:dyDescent="0.2">
      <c r="B103" t="s">
        <v>20</v>
      </c>
    </row>
    <row r="104" spans="1:14" x14ac:dyDescent="0.2">
      <c r="B104" t="s">
        <v>21</v>
      </c>
    </row>
    <row r="105" spans="1:14" x14ac:dyDescent="0.2">
      <c r="B105" t="s">
        <v>25</v>
      </c>
    </row>
    <row r="107" spans="1:14" x14ac:dyDescent="0.2">
      <c r="A107" t="s">
        <v>589</v>
      </c>
    </row>
    <row r="108" spans="1:14" x14ac:dyDescent="0.2">
      <c r="B108" t="s">
        <v>676</v>
      </c>
    </row>
    <row r="110" spans="1:14" x14ac:dyDescent="0.2">
      <c r="B110" s="82" t="s">
        <v>1195</v>
      </c>
      <c r="C110" s="11"/>
      <c r="D110" s="11"/>
      <c r="E110" s="11"/>
      <c r="F110" s="70">
        <v>1</v>
      </c>
    </row>
    <row r="111" spans="1:14" x14ac:dyDescent="0.2">
      <c r="A111" s="47"/>
    </row>
    <row r="112" spans="1:14" x14ac:dyDescent="0.2">
      <c r="A112" s="87" t="s">
        <v>1193</v>
      </c>
      <c r="B112" s="11" t="s">
        <v>55</v>
      </c>
      <c r="C112" s="11"/>
      <c r="D112" s="11"/>
      <c r="E112" s="11"/>
      <c r="F112" s="11"/>
      <c r="G112" s="11"/>
      <c r="H112" s="11"/>
      <c r="I112" s="67" t="s">
        <v>586</v>
      </c>
      <c r="L112" s="19">
        <f>VALUE(MID(I112,1,L113-1))</f>
        <v>-471.947</v>
      </c>
      <c r="M112" s="19">
        <f>VALUE(MID(I112,L113+1,M113-L113-1))</f>
        <v>1</v>
      </c>
      <c r="N112" s="19">
        <f>VALUE(MID(I112,M113+1,N113-M113))</f>
        <v>538.74</v>
      </c>
    </row>
    <row r="113" spans="1:19" x14ac:dyDescent="0.2">
      <c r="A113" s="42"/>
      <c r="C113" t="s">
        <v>546</v>
      </c>
      <c r="I113" s="2"/>
      <c r="L113" s="1">
        <f>SEARCH(" ",I112,1)</f>
        <v>9</v>
      </c>
      <c r="M113" s="1">
        <f>SEARCH(" ",I112,L113+1)</f>
        <v>11</v>
      </c>
      <c r="N113" s="1">
        <f>LEN(I112)</f>
        <v>17</v>
      </c>
    </row>
    <row r="114" spans="1:19" x14ac:dyDescent="0.2">
      <c r="A114" s="42"/>
      <c r="C114" t="s">
        <v>11</v>
      </c>
      <c r="I114" s="2"/>
    </row>
    <row r="115" spans="1:19" x14ac:dyDescent="0.2">
      <c r="A115" s="87" t="s">
        <v>1194</v>
      </c>
      <c r="B115" s="11" t="s">
        <v>56</v>
      </c>
      <c r="C115" s="11"/>
      <c r="D115" s="11"/>
      <c r="E115" s="11"/>
      <c r="F115" s="11"/>
      <c r="G115" s="11"/>
      <c r="H115" s="11"/>
      <c r="I115" s="70">
        <v>402.77</v>
      </c>
      <c r="J115" s="70">
        <v>3</v>
      </c>
      <c r="K115" s="70">
        <v>243.31299999999999</v>
      </c>
      <c r="L115" s="59"/>
      <c r="S115" s="59"/>
    </row>
    <row r="116" spans="1:19" hidden="1" x14ac:dyDescent="0.2">
      <c r="A116" s="26"/>
      <c r="I116" s="19" t="s">
        <v>36</v>
      </c>
      <c r="J116" s="19" t="s">
        <v>37</v>
      </c>
      <c r="K116" s="19" t="s">
        <v>38</v>
      </c>
    </row>
    <row r="117" spans="1:19" hidden="1" x14ac:dyDescent="0.2">
      <c r="G117" s="1" t="s">
        <v>552</v>
      </c>
      <c r="H117" s="1"/>
      <c r="I117" s="1">
        <f>IF(F110=1,L112,I115)</f>
        <v>-471.947</v>
      </c>
      <c r="J117" s="1">
        <f>IF(F110=1,M112,J115)</f>
        <v>1</v>
      </c>
      <c r="K117" s="1">
        <f>IF(F110=1,N112,K115)</f>
        <v>538.74</v>
      </c>
    </row>
    <row r="118" spans="1:19" x14ac:dyDescent="0.2">
      <c r="G118" s="1"/>
      <c r="H118" s="1"/>
      <c r="I118" s="1"/>
      <c r="J118" s="1"/>
      <c r="K118" s="1"/>
      <c r="L118" s="59"/>
      <c r="S118" s="59"/>
    </row>
    <row r="119" spans="1:19" x14ac:dyDescent="0.2">
      <c r="A119" t="s">
        <v>1168</v>
      </c>
      <c r="G119" s="1"/>
      <c r="H119" s="1"/>
      <c r="I119" s="1"/>
      <c r="J119" s="1"/>
      <c r="K119" s="1"/>
    </row>
    <row r="120" spans="1:19" x14ac:dyDescent="0.2">
      <c r="B120" t="s">
        <v>827</v>
      </c>
      <c r="G120" s="1"/>
      <c r="H120" s="1"/>
      <c r="I120" s="1"/>
      <c r="J120" s="1"/>
      <c r="K120" s="1"/>
    </row>
    <row r="121" spans="1:19" x14ac:dyDescent="0.2">
      <c r="B121" t="s">
        <v>1197</v>
      </c>
      <c r="G121" s="1"/>
      <c r="H121" s="1"/>
      <c r="I121" s="1"/>
      <c r="J121" s="1"/>
      <c r="K121" s="1"/>
    </row>
    <row r="122" spans="1:19" x14ac:dyDescent="0.2">
      <c r="G122" s="1"/>
      <c r="H122" s="1"/>
      <c r="I122" s="1"/>
      <c r="J122" s="1"/>
      <c r="K122" s="1"/>
    </row>
    <row r="123" spans="1:19" x14ac:dyDescent="0.2">
      <c r="A123" t="s">
        <v>211</v>
      </c>
      <c r="G123" s="1"/>
      <c r="H123" s="1"/>
      <c r="I123" s="1"/>
      <c r="J123" s="1"/>
      <c r="K123" s="1"/>
    </row>
    <row r="124" spans="1:19" x14ac:dyDescent="0.2">
      <c r="B124" t="s">
        <v>212</v>
      </c>
      <c r="G124" s="1"/>
      <c r="H124" s="1"/>
      <c r="I124" s="1"/>
      <c r="J124" s="1"/>
      <c r="K124" s="1"/>
    </row>
    <row r="125" spans="1:19" s="28" customFormat="1" ht="13.5" thickBot="1" x14ac:dyDescent="0.25">
      <c r="G125" s="30"/>
      <c r="H125" s="30"/>
      <c r="I125" s="30"/>
      <c r="J125" s="30"/>
      <c r="K125" s="30"/>
    </row>
    <row r="126" spans="1:19" s="69" customFormat="1" x14ac:dyDescent="0.2">
      <c r="A126" s="68" t="s">
        <v>13</v>
      </c>
    </row>
    <row r="128" spans="1:19" x14ac:dyDescent="0.2">
      <c r="A128" s="25" t="s">
        <v>145</v>
      </c>
      <c r="H128" s="1" t="s">
        <v>31</v>
      </c>
      <c r="I128" s="1" t="s">
        <v>30</v>
      </c>
      <c r="J128" s="1" t="s">
        <v>40</v>
      </c>
      <c r="K128" s="1" t="s">
        <v>41</v>
      </c>
      <c r="L128" s="1" t="s">
        <v>42</v>
      </c>
      <c r="M128" s="1" t="s">
        <v>14</v>
      </c>
      <c r="N128" s="1" t="s">
        <v>15</v>
      </c>
      <c r="O128" s="1" t="s">
        <v>16</v>
      </c>
      <c r="P128" s="1" t="s">
        <v>17</v>
      </c>
      <c r="Q128" s="1" t="s">
        <v>18</v>
      </c>
    </row>
    <row r="129" spans="1:20" x14ac:dyDescent="0.2">
      <c r="H129" s="1">
        <f>O43</f>
        <v>0</v>
      </c>
      <c r="I129" s="1" t="str">
        <f>H45</f>
        <v>-0.018979 0.000000 0.999820 0.000000</v>
      </c>
      <c r="J129" s="1">
        <v>0</v>
      </c>
      <c r="K129" s="1">
        <v>0</v>
      </c>
      <c r="L129" s="1">
        <v>0</v>
      </c>
      <c r="M129" s="1">
        <f>IF(ABS(I117+J129)&lt;=1024,I117+J129,IF(I117+J129&gt;1024,I117+J129-2048,I117+J129+2048))</f>
        <v>-471.947</v>
      </c>
      <c r="N129" s="1">
        <f>J117+K129</f>
        <v>1</v>
      </c>
      <c r="O129" s="1">
        <f>IF(ABS(K117+L129)&lt;=1024,K117+L129,IF(K117+L129&gt;1024,K117+L129-2048,K117+L129+2048))</f>
        <v>538.74</v>
      </c>
      <c r="P129" s="1">
        <f>IF(ABS(I117+J129)&lt;=1024,D98,IF(I117+J129&gt;1024,D98+1,D98-1))</f>
        <v>-5764</v>
      </c>
      <c r="Q129" s="1">
        <f>IF(ABS(K117+L129)&lt;=1024,H98,IF(K117+L129&gt;1024,H98+1,H98-1))</f>
        <v>14672</v>
      </c>
    </row>
    <row r="130" spans="1:20" x14ac:dyDescent="0.2">
      <c r="A130" s="89" t="s">
        <v>28</v>
      </c>
      <c r="C130" s="71">
        <f>P129</f>
        <v>-5764</v>
      </c>
      <c r="D130" s="88" t="s">
        <v>27</v>
      </c>
      <c r="E130" s="71">
        <f>Q129</f>
        <v>14672</v>
      </c>
      <c r="F130" t="s">
        <v>32</v>
      </c>
    </row>
    <row r="131" spans="1:20" x14ac:dyDescent="0.2">
      <c r="A131" s="89" t="s">
        <v>29</v>
      </c>
      <c r="C131" s="72">
        <f>H129</f>
        <v>0</v>
      </c>
      <c r="F131" t="s">
        <v>423</v>
      </c>
    </row>
    <row r="132" spans="1:20" x14ac:dyDescent="0.2">
      <c r="A132" s="89" t="s">
        <v>26</v>
      </c>
      <c r="C132" s="73" t="str">
        <f>CONCATENATE(TEXT(M129,"0.000")," ",TEXT(N129,"0.000")," ",TEXT(O129,"0.000"))</f>
        <v>-471.947 1.000 538.740</v>
      </c>
    </row>
    <row r="133" spans="1:20" x14ac:dyDescent="0.2">
      <c r="B133" s="88" t="s">
        <v>455</v>
      </c>
      <c r="C133" s="75" t="str">
        <f>I129</f>
        <v>-0.018979 0.000000 0.999820 0.000000</v>
      </c>
      <c r="D133" s="148"/>
      <c r="E133" s="148"/>
      <c r="F133" s="148"/>
      <c r="G133" s="148"/>
      <c r="H133" s="148"/>
      <c r="I133" s="148"/>
      <c r="J133" s="148"/>
      <c r="K133" s="148"/>
      <c r="L133" s="148"/>
      <c r="M133" s="148"/>
      <c r="N133" s="148"/>
      <c r="O133" s="148"/>
      <c r="P133" s="148"/>
      <c r="Q133" s="148"/>
      <c r="R133" s="148"/>
      <c r="S133" s="148"/>
      <c r="T133" s="148"/>
    </row>
    <row r="134" spans="1:20" x14ac:dyDescent="0.2">
      <c r="B134" s="88" t="s">
        <v>452</v>
      </c>
      <c r="C134" s="75" t="str">
        <f>M66</f>
        <v>-0.999820 0.000000 -0.018979 0.000000</v>
      </c>
      <c r="D134" s="148"/>
      <c r="E134" s="148"/>
      <c r="F134" s="148"/>
      <c r="G134" s="148"/>
      <c r="H134" s="148"/>
      <c r="I134" s="148"/>
      <c r="J134" s="148"/>
      <c r="K134" s="148"/>
      <c r="L134" s="148"/>
      <c r="M134" s="148"/>
      <c r="N134" s="148"/>
      <c r="O134" s="148"/>
      <c r="P134" s="148"/>
      <c r="Q134" s="148"/>
      <c r="R134" s="148"/>
      <c r="S134" s="148"/>
      <c r="T134" s="148"/>
    </row>
    <row r="135" spans="1:20" x14ac:dyDescent="0.2">
      <c r="B135" s="88" t="s">
        <v>453</v>
      </c>
      <c r="C135" s="75" t="str">
        <f>M70</f>
        <v>0.000000 0.018979 0.000000 0.999820</v>
      </c>
      <c r="D135" s="148"/>
      <c r="E135" s="148"/>
      <c r="F135" s="148"/>
      <c r="G135" s="148"/>
      <c r="H135" s="148"/>
      <c r="I135" s="148"/>
      <c r="J135" s="148"/>
      <c r="K135" s="148"/>
      <c r="L135" s="148"/>
      <c r="M135" s="148"/>
      <c r="N135" s="148"/>
      <c r="O135" s="148"/>
      <c r="P135" s="148"/>
      <c r="Q135" s="148"/>
      <c r="R135" s="148"/>
      <c r="S135" s="148"/>
      <c r="T135" s="148"/>
    </row>
    <row r="136" spans="1:20" x14ac:dyDescent="0.2">
      <c r="B136" s="88" t="s">
        <v>454</v>
      </c>
      <c r="C136" s="75" t="str">
        <f>M71</f>
        <v>0.000000 -0.999820 0.000000 0.018979</v>
      </c>
      <c r="D136" s="148"/>
      <c r="E136" s="148"/>
      <c r="F136" s="148"/>
      <c r="G136" s="149" t="s">
        <v>224</v>
      </c>
      <c r="H136" s="148"/>
      <c r="I136" s="148"/>
      <c r="J136" s="148"/>
      <c r="K136" s="148"/>
      <c r="L136" s="148"/>
      <c r="M136" s="148"/>
      <c r="N136" s="148"/>
      <c r="O136" s="148"/>
      <c r="P136" s="148"/>
      <c r="Q136" s="148"/>
      <c r="R136" s="148"/>
      <c r="S136" s="148"/>
      <c r="T136" s="148"/>
    </row>
    <row r="137" spans="1:20" x14ac:dyDescent="0.2">
      <c r="B137" s="88" t="s">
        <v>828</v>
      </c>
      <c r="C137" s="75" t="str">
        <f>M75</f>
        <v>0.000000 -0.693559 0.000000 0.720400</v>
      </c>
      <c r="D137" s="148"/>
      <c r="E137" s="148"/>
      <c r="F137" s="148"/>
      <c r="G137" s="148"/>
      <c r="H137" s="148"/>
      <c r="I137" s="148"/>
      <c r="J137" s="148"/>
      <c r="K137" s="148"/>
      <c r="L137" s="148"/>
      <c r="M137" s="148"/>
      <c r="N137" s="148"/>
      <c r="O137" s="148"/>
      <c r="P137" s="148"/>
      <c r="Q137" s="148"/>
      <c r="R137" s="148"/>
      <c r="S137" s="148"/>
      <c r="T137" s="148"/>
    </row>
    <row r="138" spans="1:20" x14ac:dyDescent="0.2">
      <c r="B138" s="88" t="s">
        <v>829</v>
      </c>
      <c r="C138" s="75" t="str">
        <f>M78</f>
        <v>0.000000 -0.720400 0.000000 -0.693559</v>
      </c>
      <c r="D138" s="148"/>
      <c r="E138" s="148"/>
      <c r="F138" s="148"/>
      <c r="G138" s="148"/>
      <c r="H138" s="148"/>
      <c r="I138" s="148"/>
      <c r="J138" s="148"/>
      <c r="K138" s="148"/>
      <c r="L138" s="148"/>
      <c r="M138" s="148"/>
      <c r="N138" s="148"/>
      <c r="O138" s="148"/>
      <c r="P138" s="148"/>
      <c r="Q138" s="148"/>
      <c r="R138" s="148"/>
      <c r="S138" s="148"/>
      <c r="T138" s="148"/>
    </row>
    <row r="139" spans="1:20" x14ac:dyDescent="0.2">
      <c r="B139" s="88" t="s">
        <v>830</v>
      </c>
      <c r="C139" s="75" t="str">
        <f>M79</f>
        <v>0.000000 -0.693559 0.000000 0.720400</v>
      </c>
      <c r="D139" s="148"/>
      <c r="E139" s="148"/>
      <c r="F139" s="148"/>
      <c r="G139" s="148"/>
      <c r="H139" s="148"/>
      <c r="I139" s="148"/>
      <c r="J139" s="148"/>
      <c r="K139" s="148"/>
      <c r="L139" s="148"/>
      <c r="M139" s="148"/>
      <c r="N139" s="148"/>
      <c r="O139" s="148"/>
      <c r="P139" s="148"/>
      <c r="Q139" s="148"/>
      <c r="R139" s="148"/>
      <c r="S139" s="148"/>
      <c r="T139" s="148"/>
    </row>
    <row r="140" spans="1:20" x14ac:dyDescent="0.2">
      <c r="B140" s="88" t="s">
        <v>831</v>
      </c>
      <c r="C140" s="75" t="str">
        <f>M80</f>
        <v>0.000000 -0.720400 0.000000 -0.693559</v>
      </c>
      <c r="D140" s="148"/>
      <c r="E140" s="148"/>
      <c r="F140" s="148"/>
      <c r="G140" s="148"/>
      <c r="H140" s="148"/>
      <c r="I140" s="148"/>
      <c r="J140" s="148"/>
      <c r="K140" s="148"/>
      <c r="L140" s="148"/>
      <c r="M140" s="148"/>
      <c r="N140" s="148"/>
      <c r="O140" s="148"/>
      <c r="P140" s="148"/>
      <c r="Q140" s="148"/>
      <c r="R140" s="148"/>
      <c r="S140" s="148"/>
      <c r="T140" s="148"/>
    </row>
    <row r="141" spans="1:20" x14ac:dyDescent="0.2">
      <c r="C141" s="12" t="s">
        <v>147</v>
      </c>
    </row>
    <row r="143" spans="1:20" x14ac:dyDescent="0.2">
      <c r="A143" s="25" t="s">
        <v>1239</v>
      </c>
      <c r="H143" s="1" t="s">
        <v>31</v>
      </c>
      <c r="I143" s="1" t="s">
        <v>30</v>
      </c>
      <c r="J143" s="1" t="s">
        <v>40</v>
      </c>
      <c r="K143" s="1" t="s">
        <v>41</v>
      </c>
      <c r="L143" s="1" t="s">
        <v>42</v>
      </c>
      <c r="M143" s="1" t="s">
        <v>14</v>
      </c>
      <c r="N143" s="1" t="s">
        <v>15</v>
      </c>
      <c r="O143" s="1" t="s">
        <v>16</v>
      </c>
      <c r="P143" s="1" t="s">
        <v>17</v>
      </c>
      <c r="Q143" s="1" t="s">
        <v>18</v>
      </c>
    </row>
    <row r="144" spans="1:20" x14ac:dyDescent="0.2">
      <c r="C144" s="26" t="str">
        <f>T(IF(ABS(C145-C130)+ABS(E145-E130)&lt;&gt;0,"WARNING:  TILE CHANGE -&gt; other world tile file!",""))</f>
        <v/>
      </c>
      <c r="H144" s="1">
        <f>H129</f>
        <v>0</v>
      </c>
      <c r="I144" s="1" t="str">
        <f>I129</f>
        <v>-0.018979 0.000000 0.999820 0.000000</v>
      </c>
      <c r="J144" s="1">
        <f>H90</f>
        <v>-1.8975592692491188</v>
      </c>
      <c r="K144" s="1">
        <f>I90</f>
        <v>0</v>
      </c>
      <c r="L144" s="1">
        <f>J90</f>
        <v>49.964014965140215</v>
      </c>
      <c r="M144" s="1">
        <f>IF(ABS(M129+J144)&lt;=1024,M129+J144,IF(M129+J144&gt;1024,M129+J144-2048,M129+J144+2048))</f>
        <v>-473.84455926924915</v>
      </c>
      <c r="N144" s="1">
        <f>N129+K144</f>
        <v>1</v>
      </c>
      <c r="O144" s="1">
        <f>IF(ABS(O129+L144)&lt;=1024,O129+L144,IF(O129+L144&gt;1024,O129+L144-2048,O129+L144+2048))</f>
        <v>588.70401496514023</v>
      </c>
      <c r="P144" s="1">
        <f>IF(ABS(M129+J144)&lt;=1024,P129,IF(M129+J144&gt;1024,P129+1,P129-1))</f>
        <v>-5764</v>
      </c>
      <c r="Q144" s="1">
        <f>IF(ABS(O129+L144)&lt;=1024,Q129,IF(O129+L144&gt;1024,Q129+1,Q129-1))</f>
        <v>14672</v>
      </c>
    </row>
    <row r="145" spans="1:17" x14ac:dyDescent="0.2">
      <c r="A145" s="89" t="s">
        <v>28</v>
      </c>
      <c r="C145" s="71">
        <f>P144</f>
        <v>-5764</v>
      </c>
      <c r="D145" t="s">
        <v>27</v>
      </c>
      <c r="E145" s="71">
        <f>Q144</f>
        <v>14672</v>
      </c>
      <c r="F145" t="s">
        <v>32</v>
      </c>
    </row>
    <row r="146" spans="1:17" x14ac:dyDescent="0.2">
      <c r="A146" s="89" t="s">
        <v>29</v>
      </c>
      <c r="C146" s="72">
        <f>H144</f>
        <v>0</v>
      </c>
      <c r="F146" t="s">
        <v>423</v>
      </c>
    </row>
    <row r="147" spans="1:17" x14ac:dyDescent="0.2">
      <c r="A147" s="89" t="s">
        <v>26</v>
      </c>
      <c r="C147" s="73" t="str">
        <f>CONCATENATE(TEXT(M144,"0.000")," ",TEXT(N144,"0.000")," ",TEXT(O144,"0.000"))</f>
        <v>-473.845 1.000 588.704</v>
      </c>
    </row>
    <row r="148" spans="1:17" x14ac:dyDescent="0.2">
      <c r="B148" s="88" t="s">
        <v>455</v>
      </c>
      <c r="C148" s="75" t="str">
        <f>I144</f>
        <v>-0.018979 0.000000 0.999820 0.000000</v>
      </c>
    </row>
    <row r="149" spans="1:17" x14ac:dyDescent="0.2">
      <c r="B149" s="88" t="s">
        <v>452</v>
      </c>
      <c r="C149" s="75" t="str">
        <f t="shared" ref="C149:C155" si="0">C134</f>
        <v>-0.999820 0.000000 -0.018979 0.000000</v>
      </c>
    </row>
    <row r="150" spans="1:17" x14ac:dyDescent="0.2">
      <c r="B150" s="88" t="s">
        <v>453</v>
      </c>
      <c r="C150" s="75" t="str">
        <f t="shared" si="0"/>
        <v>0.000000 0.018979 0.000000 0.999820</v>
      </c>
    </row>
    <row r="151" spans="1:17" x14ac:dyDescent="0.2">
      <c r="B151" s="88" t="s">
        <v>454</v>
      </c>
      <c r="C151" s="75" t="str">
        <f t="shared" si="0"/>
        <v>0.000000 -0.999820 0.000000 0.018979</v>
      </c>
    </row>
    <row r="152" spans="1:17" x14ac:dyDescent="0.2">
      <c r="B152" s="88" t="s">
        <v>828</v>
      </c>
      <c r="C152" s="75" t="str">
        <f t="shared" si="0"/>
        <v>0.000000 -0.693559 0.000000 0.720400</v>
      </c>
    </row>
    <row r="153" spans="1:17" x14ac:dyDescent="0.2">
      <c r="B153" s="88" t="s">
        <v>829</v>
      </c>
      <c r="C153" s="75" t="str">
        <f t="shared" si="0"/>
        <v>0.000000 -0.720400 0.000000 -0.693559</v>
      </c>
    </row>
    <row r="154" spans="1:17" x14ac:dyDescent="0.2">
      <c r="B154" s="88" t="s">
        <v>830</v>
      </c>
      <c r="C154" s="75" t="str">
        <f t="shared" si="0"/>
        <v>0.000000 -0.693559 0.000000 0.720400</v>
      </c>
    </row>
    <row r="155" spans="1:17" x14ac:dyDescent="0.2">
      <c r="B155" s="88" t="s">
        <v>831</v>
      </c>
      <c r="C155" s="75" t="str">
        <f t="shared" si="0"/>
        <v>0.000000 -0.720400 0.000000 -0.693559</v>
      </c>
    </row>
    <row r="156" spans="1:17" x14ac:dyDescent="0.2">
      <c r="C156" s="12" t="s">
        <v>147</v>
      </c>
    </row>
    <row r="157" spans="1:17" x14ac:dyDescent="0.2">
      <c r="C157" s="41"/>
    </row>
    <row r="158" spans="1:17" x14ac:dyDescent="0.2">
      <c r="A158" s="25" t="s">
        <v>1240</v>
      </c>
      <c r="H158" s="1" t="s">
        <v>31</v>
      </c>
      <c r="I158" s="1" t="s">
        <v>30</v>
      </c>
      <c r="J158" s="1" t="s">
        <v>40</v>
      </c>
      <c r="K158" s="1" t="s">
        <v>41</v>
      </c>
      <c r="L158" s="1" t="s">
        <v>42</v>
      </c>
      <c r="M158" s="1" t="s">
        <v>14</v>
      </c>
      <c r="N158" s="1" t="s">
        <v>15</v>
      </c>
      <c r="O158" s="1" t="s">
        <v>16</v>
      </c>
      <c r="P158" s="1" t="s">
        <v>17</v>
      </c>
      <c r="Q158" s="1" t="s">
        <v>18</v>
      </c>
    </row>
    <row r="159" spans="1:17" x14ac:dyDescent="0.2">
      <c r="C159" s="26" t="str">
        <f>T(IF(ABS(C160-C145)+ABS(E160-E145)&lt;&gt;0,"WARNING:  TILE CHANGE -&gt; other world tile file!",""))</f>
        <v/>
      </c>
      <c r="H159" s="1">
        <f>H144</f>
        <v>0</v>
      </c>
      <c r="I159" s="1" t="str">
        <f>I144</f>
        <v>-0.018979 0.000000 0.999820 0.000000</v>
      </c>
      <c r="J159" s="1">
        <f>J144</f>
        <v>-1.8975592692491188</v>
      </c>
      <c r="K159" s="1">
        <f>K144</f>
        <v>0</v>
      </c>
      <c r="L159" s="1">
        <f>L144</f>
        <v>49.964014965140215</v>
      </c>
      <c r="M159" s="1">
        <f>IF(ABS(M144+J159)&lt;=1024,M144+J159,IF(M144+J159&gt;1024,M144+J159-2048,M144+J159+2048))</f>
        <v>-475.74211853849829</v>
      </c>
      <c r="N159" s="1">
        <f>N144+K159</f>
        <v>1</v>
      </c>
      <c r="O159" s="1">
        <f>IF(ABS(O144+L159)&lt;=1024,O144+L159,IF(O144+L159&gt;1024,O144+L159-2048,O144+L159+2048))</f>
        <v>638.66802993028045</v>
      </c>
      <c r="P159" s="1">
        <f>IF(ABS(M144+J159)&lt;=1024,P144,IF(M144+J159&gt;1024,P144+1,P144-1))</f>
        <v>-5764</v>
      </c>
      <c r="Q159" s="1">
        <f>IF(ABS(O144+L159)&lt;=1024,Q144,IF(O144+L159&gt;1024,Q144+1,Q144-1))</f>
        <v>14672</v>
      </c>
    </row>
    <row r="160" spans="1:17" x14ac:dyDescent="0.2">
      <c r="A160" s="89" t="s">
        <v>28</v>
      </c>
      <c r="C160" s="71">
        <f>P159</f>
        <v>-5764</v>
      </c>
      <c r="D160" t="s">
        <v>27</v>
      </c>
      <c r="E160" s="71">
        <f>Q159</f>
        <v>14672</v>
      </c>
      <c r="F160" t="s">
        <v>32</v>
      </c>
    </row>
    <row r="161" spans="1:17" x14ac:dyDescent="0.2">
      <c r="A161" s="89" t="s">
        <v>29</v>
      </c>
      <c r="C161" s="72">
        <f>H159</f>
        <v>0</v>
      </c>
      <c r="F161" t="s">
        <v>423</v>
      </c>
    </row>
    <row r="162" spans="1:17" x14ac:dyDescent="0.2">
      <c r="A162" s="89" t="s">
        <v>26</v>
      </c>
      <c r="C162" s="73" t="str">
        <f>CONCATENATE(TEXT(M159,"0.000")," ",TEXT(N159,"0.000")," ",TEXT(O159,"0.000"))</f>
        <v>-475.742 1.000 638.668</v>
      </c>
    </row>
    <row r="163" spans="1:17" x14ac:dyDescent="0.2">
      <c r="B163" s="88" t="s">
        <v>455</v>
      </c>
      <c r="C163" s="75" t="str">
        <f>I159</f>
        <v>-0.018979 0.000000 0.999820 0.000000</v>
      </c>
    </row>
    <row r="164" spans="1:17" x14ac:dyDescent="0.2">
      <c r="B164" s="88" t="s">
        <v>452</v>
      </c>
      <c r="C164" s="75" t="str">
        <f t="shared" ref="C164:C170" si="1">C149</f>
        <v>-0.999820 0.000000 -0.018979 0.000000</v>
      </c>
    </row>
    <row r="165" spans="1:17" x14ac:dyDescent="0.2">
      <c r="B165" s="88" t="s">
        <v>453</v>
      </c>
      <c r="C165" s="75" t="str">
        <f t="shared" si="1"/>
        <v>0.000000 0.018979 0.000000 0.999820</v>
      </c>
    </row>
    <row r="166" spans="1:17" x14ac:dyDescent="0.2">
      <c r="B166" s="88" t="s">
        <v>454</v>
      </c>
      <c r="C166" s="75" t="str">
        <f t="shared" si="1"/>
        <v>0.000000 -0.999820 0.000000 0.018979</v>
      </c>
    </row>
    <row r="167" spans="1:17" x14ac:dyDescent="0.2">
      <c r="B167" s="88" t="s">
        <v>828</v>
      </c>
      <c r="C167" s="75" t="str">
        <f t="shared" si="1"/>
        <v>0.000000 -0.693559 0.000000 0.720400</v>
      </c>
    </row>
    <row r="168" spans="1:17" x14ac:dyDescent="0.2">
      <c r="B168" s="88" t="s">
        <v>829</v>
      </c>
      <c r="C168" s="75" t="str">
        <f t="shared" si="1"/>
        <v>0.000000 -0.720400 0.000000 -0.693559</v>
      </c>
    </row>
    <row r="169" spans="1:17" x14ac:dyDescent="0.2">
      <c r="B169" s="88" t="s">
        <v>830</v>
      </c>
      <c r="C169" s="75" t="str">
        <f t="shared" si="1"/>
        <v>0.000000 -0.693559 0.000000 0.720400</v>
      </c>
    </row>
    <row r="170" spans="1:17" x14ac:dyDescent="0.2">
      <c r="B170" s="88" t="s">
        <v>831</v>
      </c>
      <c r="C170" s="75" t="str">
        <f t="shared" si="1"/>
        <v>0.000000 -0.720400 0.000000 -0.693559</v>
      </c>
    </row>
    <row r="171" spans="1:17" x14ac:dyDescent="0.2">
      <c r="C171" s="12" t="s">
        <v>147</v>
      </c>
    </row>
    <row r="172" spans="1:17" x14ac:dyDescent="0.2">
      <c r="C172" s="41"/>
    </row>
    <row r="173" spans="1:17" x14ac:dyDescent="0.2">
      <c r="A173" s="25" t="s">
        <v>1241</v>
      </c>
      <c r="H173" s="1" t="s">
        <v>31</v>
      </c>
      <c r="I173" s="1" t="s">
        <v>30</v>
      </c>
      <c r="J173" s="1" t="s">
        <v>40</v>
      </c>
      <c r="K173" s="1" t="s">
        <v>41</v>
      </c>
      <c r="L173" s="1" t="s">
        <v>42</v>
      </c>
      <c r="M173" s="1" t="s">
        <v>14</v>
      </c>
      <c r="N173" s="1" t="s">
        <v>15</v>
      </c>
      <c r="O173" s="1" t="s">
        <v>16</v>
      </c>
      <c r="P173" s="1" t="s">
        <v>17</v>
      </c>
      <c r="Q173" s="1" t="s">
        <v>18</v>
      </c>
    </row>
    <row r="174" spans="1:17" x14ac:dyDescent="0.2">
      <c r="C174" s="26" t="str">
        <f>T(IF(ABS(C175-C160)+ABS(E175-E160)&lt;&gt;0,"WARNING:  TILE CHANGE -&gt; other world tile file!",""))</f>
        <v/>
      </c>
      <c r="H174" s="1">
        <f>H159</f>
        <v>0</v>
      </c>
      <c r="I174" s="1" t="str">
        <f>I159</f>
        <v>-0.018979 0.000000 0.999820 0.000000</v>
      </c>
      <c r="J174" s="1">
        <f>J159</f>
        <v>-1.8975592692491188</v>
      </c>
      <c r="K174" s="1">
        <f>K159</f>
        <v>0</v>
      </c>
      <c r="L174" s="1">
        <f>L159</f>
        <v>49.964014965140215</v>
      </c>
      <c r="M174" s="1">
        <f>IF(ABS(M159+J174)&lt;=1024,M159+J174,IF(M159+J174&gt;1024,M159+J174-2048,M159+J174+2048))</f>
        <v>-477.63967780774743</v>
      </c>
      <c r="N174" s="1">
        <f>N159+K174</f>
        <v>1</v>
      </c>
      <c r="O174" s="1">
        <f>IF(ABS(O159+L174)&lt;=1024,O159+L174,IF(O159+L174&gt;1024,O159+L174-2048,O159+L174+2048))</f>
        <v>688.63204489542068</v>
      </c>
      <c r="P174" s="1">
        <f>IF(ABS(M159+J174)&lt;=1024,P159,IF(M159+J174&gt;1024,P159+1,P159-1))</f>
        <v>-5764</v>
      </c>
      <c r="Q174" s="1">
        <f>IF(ABS(O159+L174)&lt;=1024,Q159,IF(O159+L174&gt;1024,Q159+1,Q159-1))</f>
        <v>14672</v>
      </c>
    </row>
    <row r="175" spans="1:17" x14ac:dyDescent="0.2">
      <c r="A175" s="89" t="s">
        <v>28</v>
      </c>
      <c r="C175" s="71">
        <f>P174</f>
        <v>-5764</v>
      </c>
      <c r="D175" t="s">
        <v>27</v>
      </c>
      <c r="E175" s="71">
        <f>Q174</f>
        <v>14672</v>
      </c>
      <c r="F175" t="s">
        <v>32</v>
      </c>
    </row>
    <row r="176" spans="1:17" x14ac:dyDescent="0.2">
      <c r="A176" s="89" t="s">
        <v>29</v>
      </c>
      <c r="C176" s="72">
        <f>H174</f>
        <v>0</v>
      </c>
      <c r="F176" t="s">
        <v>423</v>
      </c>
    </row>
    <row r="177" spans="1:17" x14ac:dyDescent="0.2">
      <c r="A177" s="89" t="s">
        <v>26</v>
      </c>
      <c r="C177" s="73" t="str">
        <f>CONCATENATE(TEXT(M174,"0.000")," ",TEXT(N174,"0.000")," ",TEXT(O174,"0.000"))</f>
        <v>-477.640 1.000 688.632</v>
      </c>
    </row>
    <row r="178" spans="1:17" x14ac:dyDescent="0.2">
      <c r="B178" s="88" t="s">
        <v>455</v>
      </c>
      <c r="C178" s="75" t="str">
        <f>I174</f>
        <v>-0.018979 0.000000 0.999820 0.000000</v>
      </c>
    </row>
    <row r="179" spans="1:17" x14ac:dyDescent="0.2">
      <c r="B179" s="88" t="s">
        <v>452</v>
      </c>
      <c r="C179" s="75" t="str">
        <f t="shared" ref="C179:C185" si="2">C164</f>
        <v>-0.999820 0.000000 -0.018979 0.000000</v>
      </c>
    </row>
    <row r="180" spans="1:17" x14ac:dyDescent="0.2">
      <c r="B180" s="88" t="s">
        <v>453</v>
      </c>
      <c r="C180" s="75" t="str">
        <f t="shared" si="2"/>
        <v>0.000000 0.018979 0.000000 0.999820</v>
      </c>
    </row>
    <row r="181" spans="1:17" x14ac:dyDescent="0.2">
      <c r="B181" s="88" t="s">
        <v>454</v>
      </c>
      <c r="C181" s="75" t="str">
        <f t="shared" si="2"/>
        <v>0.000000 -0.999820 0.000000 0.018979</v>
      </c>
    </row>
    <row r="182" spans="1:17" x14ac:dyDescent="0.2">
      <c r="B182" s="88" t="s">
        <v>828</v>
      </c>
      <c r="C182" s="75" t="str">
        <f t="shared" si="2"/>
        <v>0.000000 -0.693559 0.000000 0.720400</v>
      </c>
    </row>
    <row r="183" spans="1:17" x14ac:dyDescent="0.2">
      <c r="B183" s="88" t="s">
        <v>829</v>
      </c>
      <c r="C183" s="75" t="str">
        <f t="shared" si="2"/>
        <v>0.000000 -0.720400 0.000000 -0.693559</v>
      </c>
    </row>
    <row r="184" spans="1:17" x14ac:dyDescent="0.2">
      <c r="B184" s="88" t="s">
        <v>830</v>
      </c>
      <c r="C184" s="75" t="str">
        <f t="shared" si="2"/>
        <v>0.000000 -0.693559 0.000000 0.720400</v>
      </c>
    </row>
    <row r="185" spans="1:17" x14ac:dyDescent="0.2">
      <c r="B185" s="88" t="s">
        <v>831</v>
      </c>
      <c r="C185" s="75" t="str">
        <f t="shared" si="2"/>
        <v>0.000000 -0.720400 0.000000 -0.693559</v>
      </c>
    </row>
    <row r="186" spans="1:17" x14ac:dyDescent="0.2">
      <c r="C186" s="12" t="s">
        <v>147</v>
      </c>
    </row>
    <row r="187" spans="1:17" x14ac:dyDescent="0.2">
      <c r="C187" s="41"/>
    </row>
    <row r="188" spans="1:17" x14ac:dyDescent="0.2">
      <c r="A188" s="25" t="s">
        <v>1242</v>
      </c>
      <c r="H188" s="1" t="s">
        <v>31</v>
      </c>
      <c r="I188" s="1" t="s">
        <v>30</v>
      </c>
      <c r="J188" s="1" t="s">
        <v>40</v>
      </c>
      <c r="K188" s="1" t="s">
        <v>41</v>
      </c>
      <c r="L188" s="1" t="s">
        <v>42</v>
      </c>
      <c r="M188" s="1" t="s">
        <v>14</v>
      </c>
      <c r="N188" s="1" t="s">
        <v>15</v>
      </c>
      <c r="O188" s="1" t="s">
        <v>16</v>
      </c>
      <c r="P188" s="1" t="s">
        <v>17</v>
      </c>
      <c r="Q188" s="1" t="s">
        <v>18</v>
      </c>
    </row>
    <row r="189" spans="1:17" x14ac:dyDescent="0.2">
      <c r="C189" s="26" t="str">
        <f>T(IF(ABS(C190-C175)+ABS(E190-E175)&lt;&gt;0,"WARNING:  TILE CHANGE -&gt; other world tile file!",""))</f>
        <v/>
      </c>
      <c r="H189" s="1">
        <f>H174</f>
        <v>0</v>
      </c>
      <c r="I189" s="1" t="str">
        <f>I174</f>
        <v>-0.018979 0.000000 0.999820 0.000000</v>
      </c>
      <c r="J189" s="1">
        <f>J174</f>
        <v>-1.8975592692491188</v>
      </c>
      <c r="K189" s="1">
        <f>K174</f>
        <v>0</v>
      </c>
      <c r="L189" s="1">
        <f>L174</f>
        <v>49.964014965140215</v>
      </c>
      <c r="M189" s="1">
        <f>IF(ABS(M174+J189)&lt;=1024,M174+J189,IF(M174+J189&gt;1024,M174+J189-2048,M174+J189+2048))</f>
        <v>-479.53723707699658</v>
      </c>
      <c r="N189" s="1">
        <f>N174+K189</f>
        <v>1</v>
      </c>
      <c r="O189" s="1">
        <f>IF(ABS(O174+L189)&lt;=1024,O174+L189,IF(O174+L189&gt;1024,O174+L189-2048,O174+L189+2048))</f>
        <v>738.5960598605609</v>
      </c>
      <c r="P189" s="1">
        <f>IF(ABS(M174+J189)&lt;=1024,P174,IF(M174+J189&gt;1024,P174+1,P174-1))</f>
        <v>-5764</v>
      </c>
      <c r="Q189" s="1">
        <f>IF(ABS(O174+L189)&lt;=1024,Q174,IF(O174+L189&gt;1024,Q174+1,Q174-1))</f>
        <v>14672</v>
      </c>
    </row>
    <row r="190" spans="1:17" x14ac:dyDescent="0.2">
      <c r="A190" s="89" t="s">
        <v>28</v>
      </c>
      <c r="C190" s="71">
        <f>P189</f>
        <v>-5764</v>
      </c>
      <c r="D190" t="s">
        <v>27</v>
      </c>
      <c r="E190" s="71">
        <f>Q189</f>
        <v>14672</v>
      </c>
      <c r="F190" t="s">
        <v>32</v>
      </c>
    </row>
    <row r="191" spans="1:17" x14ac:dyDescent="0.2">
      <c r="A191" s="89" t="s">
        <v>29</v>
      </c>
      <c r="C191" s="72">
        <f>H189</f>
        <v>0</v>
      </c>
      <c r="F191" t="s">
        <v>423</v>
      </c>
    </row>
    <row r="192" spans="1:17" x14ac:dyDescent="0.2">
      <c r="A192" s="89" t="s">
        <v>26</v>
      </c>
      <c r="C192" s="73" t="str">
        <f>CONCATENATE(TEXT(M189,"0.000")," ",TEXT(N189,"0.000")," ",TEXT(O189,"0.000"))</f>
        <v>-479.537 1.000 738.596</v>
      </c>
    </row>
    <row r="193" spans="1:17" x14ac:dyDescent="0.2">
      <c r="B193" s="88" t="s">
        <v>455</v>
      </c>
      <c r="C193" s="75" t="str">
        <f>I189</f>
        <v>-0.018979 0.000000 0.999820 0.000000</v>
      </c>
    </row>
    <row r="194" spans="1:17" x14ac:dyDescent="0.2">
      <c r="B194" s="88" t="s">
        <v>452</v>
      </c>
      <c r="C194" s="75" t="str">
        <f t="shared" ref="C194:C200" si="3">C179</f>
        <v>-0.999820 0.000000 -0.018979 0.000000</v>
      </c>
    </row>
    <row r="195" spans="1:17" x14ac:dyDescent="0.2">
      <c r="B195" s="88" t="s">
        <v>453</v>
      </c>
      <c r="C195" s="75" t="str">
        <f t="shared" si="3"/>
        <v>0.000000 0.018979 0.000000 0.999820</v>
      </c>
    </row>
    <row r="196" spans="1:17" x14ac:dyDescent="0.2">
      <c r="B196" s="88" t="s">
        <v>454</v>
      </c>
      <c r="C196" s="75" t="str">
        <f t="shared" si="3"/>
        <v>0.000000 -0.999820 0.000000 0.018979</v>
      </c>
    </row>
    <row r="197" spans="1:17" x14ac:dyDescent="0.2">
      <c r="B197" s="88" t="s">
        <v>828</v>
      </c>
      <c r="C197" s="75" t="str">
        <f t="shared" si="3"/>
        <v>0.000000 -0.693559 0.000000 0.720400</v>
      </c>
    </row>
    <row r="198" spans="1:17" x14ac:dyDescent="0.2">
      <c r="B198" s="88" t="s">
        <v>829</v>
      </c>
      <c r="C198" s="75" t="str">
        <f t="shared" si="3"/>
        <v>0.000000 -0.720400 0.000000 -0.693559</v>
      </c>
    </row>
    <row r="199" spans="1:17" x14ac:dyDescent="0.2">
      <c r="B199" s="88" t="s">
        <v>830</v>
      </c>
      <c r="C199" s="75" t="str">
        <f t="shared" si="3"/>
        <v>0.000000 -0.693559 0.000000 0.720400</v>
      </c>
    </row>
    <row r="200" spans="1:17" x14ac:dyDescent="0.2">
      <c r="B200" s="88" t="s">
        <v>831</v>
      </c>
      <c r="C200" s="75" t="str">
        <f t="shared" si="3"/>
        <v>0.000000 -0.720400 0.000000 -0.693559</v>
      </c>
    </row>
    <row r="201" spans="1:17" x14ac:dyDescent="0.2">
      <c r="C201" s="12" t="s">
        <v>147</v>
      </c>
    </row>
    <row r="202" spans="1:17" x14ac:dyDescent="0.2">
      <c r="C202" s="41"/>
    </row>
    <row r="203" spans="1:17" x14ac:dyDescent="0.2">
      <c r="A203" s="25" t="s">
        <v>1279</v>
      </c>
      <c r="H203" s="1" t="s">
        <v>31</v>
      </c>
      <c r="I203" s="1" t="s">
        <v>30</v>
      </c>
      <c r="J203" s="1" t="s">
        <v>40</v>
      </c>
      <c r="K203" s="1" t="s">
        <v>41</v>
      </c>
      <c r="L203" s="1" t="s">
        <v>42</v>
      </c>
      <c r="M203" s="1" t="s">
        <v>14</v>
      </c>
      <c r="N203" s="1" t="s">
        <v>15</v>
      </c>
      <c r="O203" s="1" t="s">
        <v>16</v>
      </c>
      <c r="P203" s="1" t="s">
        <v>17</v>
      </c>
      <c r="Q203" s="1" t="s">
        <v>18</v>
      </c>
    </row>
    <row r="204" spans="1:17" x14ac:dyDescent="0.2">
      <c r="C204" s="26" t="str">
        <f>T(IF(ABS(C205-C190)+ABS(E205-E190)&lt;&gt;0,"WARNING:  TILE CHANGE -&gt; other world tile file!",""))</f>
        <v/>
      </c>
      <c r="H204" s="1">
        <f>H189</f>
        <v>0</v>
      </c>
      <c r="I204" s="1" t="str">
        <f>I189</f>
        <v>-0.018979 0.000000 0.999820 0.000000</v>
      </c>
      <c r="J204" s="1">
        <f>J189</f>
        <v>-1.8975592692491188</v>
      </c>
      <c r="K204" s="1">
        <f>K189</f>
        <v>0</v>
      </c>
      <c r="L204" s="1">
        <f>L189</f>
        <v>49.964014965140215</v>
      </c>
      <c r="M204" s="1">
        <f>IF(ABS(M189+J204)&lt;=1024,M189+J204,IF(M189+J204&gt;1024,M189+J204-2048,M189+J204+2048))</f>
        <v>-481.43479634624572</v>
      </c>
      <c r="N204" s="1">
        <f>N189+K204</f>
        <v>1</v>
      </c>
      <c r="O204" s="1">
        <f>IF(ABS(O189+L204)&lt;=1024,O189+L204,IF(O189+L204&gt;1024,O189+L204-2048,O189+L204+2048))</f>
        <v>788.56007482570112</v>
      </c>
      <c r="P204" s="1">
        <f>IF(ABS(M189+J204)&lt;=1024,P189,IF(M189+J204&gt;1024,P189+1,P189-1))</f>
        <v>-5764</v>
      </c>
      <c r="Q204" s="1">
        <f>IF(ABS(O189+L204)&lt;=1024,Q189,IF(O189+L204&gt;1024,Q189+1,Q189-1))</f>
        <v>14672</v>
      </c>
    </row>
    <row r="205" spans="1:17" x14ac:dyDescent="0.2">
      <c r="A205" s="89" t="s">
        <v>28</v>
      </c>
      <c r="C205" s="71">
        <f>P204</f>
        <v>-5764</v>
      </c>
      <c r="D205" t="s">
        <v>27</v>
      </c>
      <c r="E205" s="71">
        <f>Q204</f>
        <v>14672</v>
      </c>
      <c r="F205" t="s">
        <v>32</v>
      </c>
    </row>
    <row r="206" spans="1:17" x14ac:dyDescent="0.2">
      <c r="A206" s="89" t="s">
        <v>29</v>
      </c>
      <c r="C206" s="72">
        <f>H204</f>
        <v>0</v>
      </c>
      <c r="F206" t="s">
        <v>423</v>
      </c>
    </row>
    <row r="207" spans="1:17" x14ac:dyDescent="0.2">
      <c r="A207" s="89" t="s">
        <v>26</v>
      </c>
      <c r="C207" s="73" t="str">
        <f>CONCATENATE(TEXT(M204,"0.000")," ",TEXT(N204,"0.000")," ",TEXT(O204,"0.000"))</f>
        <v>-481.435 1.000 788.560</v>
      </c>
    </row>
    <row r="208" spans="1:17" x14ac:dyDescent="0.2">
      <c r="B208" s="88" t="s">
        <v>455</v>
      </c>
      <c r="C208" s="75" t="str">
        <f>I204</f>
        <v>-0.018979 0.000000 0.999820 0.000000</v>
      </c>
    </row>
    <row r="209" spans="1:17" x14ac:dyDescent="0.2">
      <c r="B209" s="88" t="s">
        <v>452</v>
      </c>
      <c r="C209" s="75" t="str">
        <f t="shared" ref="C209:C215" si="4">C194</f>
        <v>-0.999820 0.000000 -0.018979 0.000000</v>
      </c>
    </row>
    <row r="210" spans="1:17" x14ac:dyDescent="0.2">
      <c r="B210" s="88" t="s">
        <v>453</v>
      </c>
      <c r="C210" s="75" t="str">
        <f t="shared" si="4"/>
        <v>0.000000 0.018979 0.000000 0.999820</v>
      </c>
    </row>
    <row r="211" spans="1:17" x14ac:dyDescent="0.2">
      <c r="B211" s="88" t="s">
        <v>454</v>
      </c>
      <c r="C211" s="75" t="str">
        <f t="shared" si="4"/>
        <v>0.000000 -0.999820 0.000000 0.018979</v>
      </c>
    </row>
    <row r="212" spans="1:17" x14ac:dyDescent="0.2">
      <c r="B212" s="88" t="s">
        <v>828</v>
      </c>
      <c r="C212" s="75" t="str">
        <f t="shared" si="4"/>
        <v>0.000000 -0.693559 0.000000 0.720400</v>
      </c>
    </row>
    <row r="213" spans="1:17" x14ac:dyDescent="0.2">
      <c r="B213" s="88" t="s">
        <v>829</v>
      </c>
      <c r="C213" s="75" t="str">
        <f t="shared" si="4"/>
        <v>0.000000 -0.720400 0.000000 -0.693559</v>
      </c>
    </row>
    <row r="214" spans="1:17" x14ac:dyDescent="0.2">
      <c r="B214" s="88" t="s">
        <v>830</v>
      </c>
      <c r="C214" s="75" t="str">
        <f t="shared" si="4"/>
        <v>0.000000 -0.693559 0.000000 0.720400</v>
      </c>
    </row>
    <row r="215" spans="1:17" x14ac:dyDescent="0.2">
      <c r="B215" s="88" t="s">
        <v>831</v>
      </c>
      <c r="C215" s="75" t="str">
        <f t="shared" si="4"/>
        <v>0.000000 -0.720400 0.000000 -0.693559</v>
      </c>
    </row>
    <row r="216" spans="1:17" x14ac:dyDescent="0.2">
      <c r="C216" s="12" t="s">
        <v>147</v>
      </c>
    </row>
    <row r="217" spans="1:17" x14ac:dyDescent="0.2">
      <c r="C217" s="41"/>
    </row>
    <row r="218" spans="1:17" x14ac:dyDescent="0.2">
      <c r="A218" s="25" t="s">
        <v>1280</v>
      </c>
      <c r="H218" s="1" t="s">
        <v>31</v>
      </c>
      <c r="I218" s="1" t="s">
        <v>30</v>
      </c>
      <c r="J218" s="1" t="s">
        <v>40</v>
      </c>
      <c r="K218" s="1" t="s">
        <v>41</v>
      </c>
      <c r="L218" s="1" t="s">
        <v>42</v>
      </c>
      <c r="M218" s="1" t="s">
        <v>14</v>
      </c>
      <c r="N218" s="1" t="s">
        <v>15</v>
      </c>
      <c r="O218" s="1" t="s">
        <v>16</v>
      </c>
      <c r="P218" s="1" t="s">
        <v>17</v>
      </c>
      <c r="Q218" s="1" t="s">
        <v>18</v>
      </c>
    </row>
    <row r="219" spans="1:17" x14ac:dyDescent="0.2">
      <c r="C219" s="26" t="str">
        <f>T(IF(ABS(C220-C205)+ABS(E220-E205)&lt;&gt;0,"WARNING:  TILE CHANGE -&gt; other world tile file!",""))</f>
        <v/>
      </c>
      <c r="H219" s="1">
        <f>H204</f>
        <v>0</v>
      </c>
      <c r="I219" s="1" t="str">
        <f>I204</f>
        <v>-0.018979 0.000000 0.999820 0.000000</v>
      </c>
      <c r="J219" s="1">
        <f>J204</f>
        <v>-1.8975592692491188</v>
      </c>
      <c r="K219" s="1">
        <f>K204</f>
        <v>0</v>
      </c>
      <c r="L219" s="1">
        <f>L204</f>
        <v>49.964014965140215</v>
      </c>
      <c r="M219" s="1">
        <f>IF(ABS(M204+J219)&lt;=1024,M204+J219,IF(M204+J219&gt;1024,M204+J219-2048,M204+J219+2048))</f>
        <v>-483.33235561549486</v>
      </c>
      <c r="N219" s="1">
        <f>N204+K219</f>
        <v>1</v>
      </c>
      <c r="O219" s="1">
        <f>IF(ABS(O204+L219)&lt;=1024,O204+L219,IF(O204+L219&gt;1024,O204+L219-2048,O204+L219+2048))</f>
        <v>838.52408979084134</v>
      </c>
      <c r="P219" s="1">
        <f>IF(ABS(M204+J219)&lt;=1024,P204,IF(M204+J219&gt;1024,P204+1,P204-1))</f>
        <v>-5764</v>
      </c>
      <c r="Q219" s="1">
        <f>IF(ABS(O204+L219)&lt;=1024,Q204,IF(O204+L219&gt;1024,Q204+1,Q204-1))</f>
        <v>14672</v>
      </c>
    </row>
    <row r="220" spans="1:17" x14ac:dyDescent="0.2">
      <c r="A220" s="89" t="s">
        <v>28</v>
      </c>
      <c r="C220" s="71">
        <f>P219</f>
        <v>-5764</v>
      </c>
      <c r="D220" t="s">
        <v>27</v>
      </c>
      <c r="E220" s="71">
        <f>Q219</f>
        <v>14672</v>
      </c>
      <c r="F220" t="s">
        <v>32</v>
      </c>
    </row>
    <row r="221" spans="1:17" x14ac:dyDescent="0.2">
      <c r="A221" s="89" t="s">
        <v>29</v>
      </c>
      <c r="C221" s="72">
        <f>H219</f>
        <v>0</v>
      </c>
      <c r="F221" t="s">
        <v>423</v>
      </c>
    </row>
    <row r="222" spans="1:17" x14ac:dyDescent="0.2">
      <c r="A222" s="89" t="s">
        <v>26</v>
      </c>
      <c r="C222" s="73" t="str">
        <f>CONCATENATE(TEXT(M219,"0.000")," ",TEXT(N219,"0.000")," ",TEXT(O219,"0.000"))</f>
        <v>-483.332 1.000 838.524</v>
      </c>
    </row>
    <row r="223" spans="1:17" x14ac:dyDescent="0.2">
      <c r="B223" s="88" t="s">
        <v>455</v>
      </c>
      <c r="C223" s="75" t="str">
        <f>I219</f>
        <v>-0.018979 0.000000 0.999820 0.000000</v>
      </c>
    </row>
    <row r="224" spans="1:17" x14ac:dyDescent="0.2">
      <c r="B224" s="88" t="s">
        <v>452</v>
      </c>
      <c r="C224" s="75" t="str">
        <f t="shared" ref="C224:C230" si="5">C209</f>
        <v>-0.999820 0.000000 -0.018979 0.000000</v>
      </c>
    </row>
    <row r="225" spans="1:17" x14ac:dyDescent="0.2">
      <c r="B225" s="88" t="s">
        <v>453</v>
      </c>
      <c r="C225" s="75" t="str">
        <f t="shared" si="5"/>
        <v>0.000000 0.018979 0.000000 0.999820</v>
      </c>
    </row>
    <row r="226" spans="1:17" x14ac:dyDescent="0.2">
      <c r="B226" s="88" t="s">
        <v>454</v>
      </c>
      <c r="C226" s="75" t="str">
        <f t="shared" si="5"/>
        <v>0.000000 -0.999820 0.000000 0.018979</v>
      </c>
    </row>
    <row r="227" spans="1:17" x14ac:dyDescent="0.2">
      <c r="B227" s="88" t="s">
        <v>828</v>
      </c>
      <c r="C227" s="75" t="str">
        <f t="shared" si="5"/>
        <v>0.000000 -0.693559 0.000000 0.720400</v>
      </c>
    </row>
    <row r="228" spans="1:17" x14ac:dyDescent="0.2">
      <c r="B228" s="88" t="s">
        <v>829</v>
      </c>
      <c r="C228" s="75" t="str">
        <f t="shared" si="5"/>
        <v>0.000000 -0.720400 0.000000 -0.693559</v>
      </c>
    </row>
    <row r="229" spans="1:17" x14ac:dyDescent="0.2">
      <c r="B229" s="88" t="s">
        <v>830</v>
      </c>
      <c r="C229" s="75" t="str">
        <f t="shared" si="5"/>
        <v>0.000000 -0.693559 0.000000 0.720400</v>
      </c>
    </row>
    <row r="230" spans="1:17" x14ac:dyDescent="0.2">
      <c r="B230" s="88" t="s">
        <v>831</v>
      </c>
      <c r="C230" s="75" t="str">
        <f t="shared" si="5"/>
        <v>0.000000 -0.720400 0.000000 -0.693559</v>
      </c>
    </row>
    <row r="231" spans="1:17" x14ac:dyDescent="0.2">
      <c r="C231" s="12" t="s">
        <v>147</v>
      </c>
    </row>
    <row r="232" spans="1:17" x14ac:dyDescent="0.2">
      <c r="C232" s="41"/>
    </row>
    <row r="233" spans="1:17" x14ac:dyDescent="0.2">
      <c r="A233" s="25" t="s">
        <v>1281</v>
      </c>
      <c r="H233" s="1" t="s">
        <v>31</v>
      </c>
      <c r="I233" s="1" t="s">
        <v>30</v>
      </c>
      <c r="J233" s="1" t="s">
        <v>40</v>
      </c>
      <c r="K233" s="1" t="s">
        <v>41</v>
      </c>
      <c r="L233" s="1" t="s">
        <v>42</v>
      </c>
      <c r="M233" s="1" t="s">
        <v>14</v>
      </c>
      <c r="N233" s="1" t="s">
        <v>15</v>
      </c>
      <c r="O233" s="1" t="s">
        <v>16</v>
      </c>
      <c r="P233" s="1" t="s">
        <v>17</v>
      </c>
      <c r="Q233" s="1" t="s">
        <v>18</v>
      </c>
    </row>
    <row r="234" spans="1:17" x14ac:dyDescent="0.2">
      <c r="C234" s="26" t="str">
        <f>T(IF(ABS(C235-C220)+ABS(E235-E220)&lt;&gt;0,"WARNING:  TILE CHANGE -&gt; other world tile file!",""))</f>
        <v/>
      </c>
      <c r="H234" s="1">
        <f>H219</f>
        <v>0</v>
      </c>
      <c r="I234" s="1" t="str">
        <f>I219</f>
        <v>-0.018979 0.000000 0.999820 0.000000</v>
      </c>
      <c r="J234" s="1">
        <f>J219</f>
        <v>-1.8975592692491188</v>
      </c>
      <c r="K234" s="1">
        <f>K219</f>
        <v>0</v>
      </c>
      <c r="L234" s="1">
        <f>L219</f>
        <v>49.964014965140215</v>
      </c>
      <c r="M234" s="1">
        <f>IF(ABS(M219+J234)&lt;=1024,M219+J234,IF(M219+J234&gt;1024,M219+J234-2048,M219+J234+2048))</f>
        <v>-485.22991488474401</v>
      </c>
      <c r="N234" s="1">
        <f>N219+K234</f>
        <v>1</v>
      </c>
      <c r="O234" s="1">
        <f>IF(ABS(O219+L234)&lt;=1024,O219+L234,IF(O219+L234&gt;1024,O219+L234-2048,O219+L234+2048))</f>
        <v>888.48810475598157</v>
      </c>
      <c r="P234" s="1">
        <f>IF(ABS(M219+J234)&lt;=1024,P219,IF(M219+J234&gt;1024,P219+1,P219-1))</f>
        <v>-5764</v>
      </c>
      <c r="Q234" s="1">
        <f>IF(ABS(O219+L234)&lt;=1024,Q219,IF(O219+L234&gt;1024,Q219+1,Q219-1))</f>
        <v>14672</v>
      </c>
    </row>
    <row r="235" spans="1:17" x14ac:dyDescent="0.2">
      <c r="A235" s="89" t="s">
        <v>28</v>
      </c>
      <c r="C235" s="71">
        <f>P234</f>
        <v>-5764</v>
      </c>
      <c r="D235" t="s">
        <v>27</v>
      </c>
      <c r="E235" s="71">
        <f>Q234</f>
        <v>14672</v>
      </c>
      <c r="F235" t="s">
        <v>32</v>
      </c>
    </row>
    <row r="236" spans="1:17" x14ac:dyDescent="0.2">
      <c r="A236" s="89" t="s">
        <v>29</v>
      </c>
      <c r="C236" s="72">
        <f>H234</f>
        <v>0</v>
      </c>
      <c r="F236" t="s">
        <v>423</v>
      </c>
    </row>
    <row r="237" spans="1:17" x14ac:dyDescent="0.2">
      <c r="A237" s="89" t="s">
        <v>26</v>
      </c>
      <c r="C237" s="73" t="str">
        <f>CONCATENATE(TEXT(M234,"0.000")," ",TEXT(N234,"0.000")," ",TEXT(O234,"0.000"))</f>
        <v>-485.230 1.000 888.488</v>
      </c>
    </row>
    <row r="238" spans="1:17" x14ac:dyDescent="0.2">
      <c r="B238" s="88" t="s">
        <v>455</v>
      </c>
      <c r="C238" s="75" t="str">
        <f>I234</f>
        <v>-0.018979 0.000000 0.999820 0.000000</v>
      </c>
    </row>
    <row r="239" spans="1:17" x14ac:dyDescent="0.2">
      <c r="B239" s="88" t="s">
        <v>452</v>
      </c>
      <c r="C239" s="75" t="str">
        <f t="shared" ref="C239:C245" si="6">C224</f>
        <v>-0.999820 0.000000 -0.018979 0.000000</v>
      </c>
    </row>
    <row r="240" spans="1:17" x14ac:dyDescent="0.2">
      <c r="B240" s="88" t="s">
        <v>453</v>
      </c>
      <c r="C240" s="75" t="str">
        <f t="shared" si="6"/>
        <v>0.000000 0.018979 0.000000 0.999820</v>
      </c>
    </row>
    <row r="241" spans="1:17" x14ac:dyDescent="0.2">
      <c r="B241" s="88" t="s">
        <v>454</v>
      </c>
      <c r="C241" s="75" t="str">
        <f t="shared" si="6"/>
        <v>0.000000 -0.999820 0.000000 0.018979</v>
      </c>
    </row>
    <row r="242" spans="1:17" x14ac:dyDescent="0.2">
      <c r="B242" s="88" t="s">
        <v>828</v>
      </c>
      <c r="C242" s="75" t="str">
        <f t="shared" si="6"/>
        <v>0.000000 -0.693559 0.000000 0.720400</v>
      </c>
    </row>
    <row r="243" spans="1:17" x14ac:dyDescent="0.2">
      <c r="B243" s="88" t="s">
        <v>829</v>
      </c>
      <c r="C243" s="75" t="str">
        <f t="shared" si="6"/>
        <v>0.000000 -0.720400 0.000000 -0.693559</v>
      </c>
    </row>
    <row r="244" spans="1:17" x14ac:dyDescent="0.2">
      <c r="B244" s="88" t="s">
        <v>830</v>
      </c>
      <c r="C244" s="75" t="str">
        <f t="shared" si="6"/>
        <v>0.000000 -0.693559 0.000000 0.720400</v>
      </c>
    </row>
    <row r="245" spans="1:17" x14ac:dyDescent="0.2">
      <c r="B245" s="88" t="s">
        <v>831</v>
      </c>
      <c r="C245" s="75" t="str">
        <f t="shared" si="6"/>
        <v>0.000000 -0.720400 0.000000 -0.693559</v>
      </c>
    </row>
    <row r="246" spans="1:17" x14ac:dyDescent="0.2">
      <c r="C246" s="12" t="s">
        <v>147</v>
      </c>
    </row>
    <row r="247" spans="1:17" x14ac:dyDescent="0.2">
      <c r="C247" s="41"/>
    </row>
    <row r="248" spans="1:17" x14ac:dyDescent="0.2">
      <c r="A248" s="25" t="s">
        <v>1282</v>
      </c>
      <c r="H248" s="1" t="s">
        <v>31</v>
      </c>
      <c r="I248" s="1" t="s">
        <v>30</v>
      </c>
      <c r="J248" s="1" t="s">
        <v>40</v>
      </c>
      <c r="K248" s="1" t="s">
        <v>41</v>
      </c>
      <c r="L248" s="1" t="s">
        <v>42</v>
      </c>
      <c r="M248" s="1" t="s">
        <v>14</v>
      </c>
      <c r="N248" s="1" t="s">
        <v>15</v>
      </c>
      <c r="O248" s="1" t="s">
        <v>16</v>
      </c>
      <c r="P248" s="1" t="s">
        <v>17</v>
      </c>
      <c r="Q248" s="1" t="s">
        <v>18</v>
      </c>
    </row>
    <row r="249" spans="1:17" x14ac:dyDescent="0.2">
      <c r="C249" s="26" t="str">
        <f>T(IF(ABS(C250-C235)+ABS(E250-E235)&lt;&gt;0,"WARNING:  TILE CHANGE -&gt; other world tile file!",""))</f>
        <v/>
      </c>
      <c r="H249" s="1">
        <f>H234</f>
        <v>0</v>
      </c>
      <c r="I249" s="1" t="str">
        <f>I234</f>
        <v>-0.018979 0.000000 0.999820 0.000000</v>
      </c>
      <c r="J249" s="1">
        <f>J234</f>
        <v>-1.8975592692491188</v>
      </c>
      <c r="K249" s="1">
        <f>K234</f>
        <v>0</v>
      </c>
      <c r="L249" s="1">
        <f>L234</f>
        <v>49.964014965140215</v>
      </c>
      <c r="M249" s="1">
        <f>IF(ABS(M234+J249)&lt;=1024,M234+J249,IF(M234+J249&gt;1024,M234+J249-2048,M234+J249+2048))</f>
        <v>-487.12747415399315</v>
      </c>
      <c r="N249" s="1">
        <f>N234+K249</f>
        <v>1</v>
      </c>
      <c r="O249" s="1">
        <f>IF(ABS(O234+L249)&lt;=1024,O234+L249,IF(O234+L249&gt;1024,O234+L249-2048,O234+L249+2048))</f>
        <v>938.45211972112179</v>
      </c>
      <c r="P249" s="1">
        <f>IF(ABS(M234+J249)&lt;=1024,P234,IF(M234+J249&gt;1024,P234+1,P234-1))</f>
        <v>-5764</v>
      </c>
      <c r="Q249" s="1">
        <f>IF(ABS(O234+L249)&lt;=1024,Q234,IF(O234+L249&gt;1024,Q234+1,Q234-1))</f>
        <v>14672</v>
      </c>
    </row>
    <row r="250" spans="1:17" x14ac:dyDescent="0.2">
      <c r="A250" s="89" t="s">
        <v>28</v>
      </c>
      <c r="C250" s="71">
        <f>P249</f>
        <v>-5764</v>
      </c>
      <c r="D250" t="s">
        <v>27</v>
      </c>
      <c r="E250" s="71">
        <f>Q249</f>
        <v>14672</v>
      </c>
      <c r="F250" t="s">
        <v>32</v>
      </c>
    </row>
    <row r="251" spans="1:17" x14ac:dyDescent="0.2">
      <c r="A251" s="89" t="s">
        <v>29</v>
      </c>
      <c r="C251" s="72">
        <f>H249</f>
        <v>0</v>
      </c>
      <c r="F251" t="s">
        <v>423</v>
      </c>
    </row>
    <row r="252" spans="1:17" x14ac:dyDescent="0.2">
      <c r="A252" s="89" t="s">
        <v>26</v>
      </c>
      <c r="C252" s="73" t="str">
        <f>CONCATENATE(TEXT(M249,"0.000")," ",TEXT(N249,"0.000")," ",TEXT(O249,"0.000"))</f>
        <v>-487.127 1.000 938.452</v>
      </c>
    </row>
    <row r="253" spans="1:17" x14ac:dyDescent="0.2">
      <c r="B253" s="88" t="s">
        <v>455</v>
      </c>
      <c r="C253" s="75" t="str">
        <f>I249</f>
        <v>-0.018979 0.000000 0.999820 0.000000</v>
      </c>
    </row>
    <row r="254" spans="1:17" x14ac:dyDescent="0.2">
      <c r="B254" s="88" t="s">
        <v>452</v>
      </c>
      <c r="C254" s="75" t="str">
        <f t="shared" ref="C254:C260" si="7">C239</f>
        <v>-0.999820 0.000000 -0.018979 0.000000</v>
      </c>
    </row>
    <row r="255" spans="1:17" x14ac:dyDescent="0.2">
      <c r="B255" s="88" t="s">
        <v>453</v>
      </c>
      <c r="C255" s="75" t="str">
        <f t="shared" si="7"/>
        <v>0.000000 0.018979 0.000000 0.999820</v>
      </c>
    </row>
    <row r="256" spans="1:17" x14ac:dyDescent="0.2">
      <c r="B256" s="88" t="s">
        <v>454</v>
      </c>
      <c r="C256" s="75" t="str">
        <f t="shared" si="7"/>
        <v>0.000000 -0.999820 0.000000 0.018979</v>
      </c>
    </row>
    <row r="257" spans="1:17" x14ac:dyDescent="0.2">
      <c r="B257" s="88" t="s">
        <v>828</v>
      </c>
      <c r="C257" s="75" t="str">
        <f t="shared" si="7"/>
        <v>0.000000 -0.693559 0.000000 0.720400</v>
      </c>
    </row>
    <row r="258" spans="1:17" x14ac:dyDescent="0.2">
      <c r="B258" s="88" t="s">
        <v>829</v>
      </c>
      <c r="C258" s="75" t="str">
        <f t="shared" si="7"/>
        <v>0.000000 -0.720400 0.000000 -0.693559</v>
      </c>
    </row>
    <row r="259" spans="1:17" x14ac:dyDescent="0.2">
      <c r="B259" s="88" t="s">
        <v>830</v>
      </c>
      <c r="C259" s="75" t="str">
        <f t="shared" si="7"/>
        <v>0.000000 -0.693559 0.000000 0.720400</v>
      </c>
    </row>
    <row r="260" spans="1:17" x14ac:dyDescent="0.2">
      <c r="B260" s="88" t="s">
        <v>831</v>
      </c>
      <c r="C260" s="75" t="str">
        <f t="shared" si="7"/>
        <v>0.000000 -0.720400 0.000000 -0.693559</v>
      </c>
    </row>
    <row r="261" spans="1:17" x14ac:dyDescent="0.2">
      <c r="C261" s="12" t="s">
        <v>147</v>
      </c>
    </row>
    <row r="262" spans="1:17" x14ac:dyDescent="0.2">
      <c r="C262" s="41"/>
    </row>
    <row r="263" spans="1:17" x14ac:dyDescent="0.2">
      <c r="A263" s="25" t="s">
        <v>1283</v>
      </c>
      <c r="H263" s="1" t="s">
        <v>31</v>
      </c>
      <c r="I263" s="1" t="s">
        <v>30</v>
      </c>
      <c r="J263" s="1" t="s">
        <v>40</v>
      </c>
      <c r="K263" s="1" t="s">
        <v>41</v>
      </c>
      <c r="L263" s="1" t="s">
        <v>42</v>
      </c>
      <c r="M263" s="1" t="s">
        <v>14</v>
      </c>
      <c r="N263" s="1" t="s">
        <v>15</v>
      </c>
      <c r="O263" s="1" t="s">
        <v>16</v>
      </c>
      <c r="P263" s="1" t="s">
        <v>17</v>
      </c>
      <c r="Q263" s="1" t="s">
        <v>18</v>
      </c>
    </row>
    <row r="264" spans="1:17" x14ac:dyDescent="0.2">
      <c r="C264" s="26" t="str">
        <f>T(IF(ABS(C265-C250)+ABS(E265-E250)&lt;&gt;0,"WARNING:  TILE CHANGE -&gt; other world tile file!",""))</f>
        <v/>
      </c>
      <c r="H264" s="1">
        <f>H249</f>
        <v>0</v>
      </c>
      <c r="I264" s="1" t="str">
        <f>I249</f>
        <v>-0.018979 0.000000 0.999820 0.000000</v>
      </c>
      <c r="J264" s="1">
        <f>J249</f>
        <v>-1.8975592692491188</v>
      </c>
      <c r="K264" s="1">
        <f>K249</f>
        <v>0</v>
      </c>
      <c r="L264" s="1">
        <f>L249</f>
        <v>49.964014965140215</v>
      </c>
      <c r="M264" s="1">
        <f>IF(ABS(M249+J264)&lt;=1024,M249+J264,IF(M249+J264&gt;1024,M249+J264-2048,M249+J264+2048))</f>
        <v>-489.02503342324229</v>
      </c>
      <c r="N264" s="1">
        <f>N249+K264</f>
        <v>1</v>
      </c>
      <c r="O264" s="1">
        <f>IF(ABS(O249+L264)&lt;=1024,O249+L264,IF(O249+L264&gt;1024,O249+L264-2048,O249+L264+2048))</f>
        <v>988.41613468626201</v>
      </c>
      <c r="P264" s="1">
        <f>IF(ABS(M249+J264)&lt;=1024,P249,IF(M249+J264&gt;1024,P249+1,P249-1))</f>
        <v>-5764</v>
      </c>
      <c r="Q264" s="1">
        <f>IF(ABS(O249+L264)&lt;=1024,Q249,IF(O249+L264&gt;1024,Q249+1,Q249-1))</f>
        <v>14672</v>
      </c>
    </row>
    <row r="265" spans="1:17" x14ac:dyDescent="0.2">
      <c r="A265" s="89" t="s">
        <v>28</v>
      </c>
      <c r="C265" s="71">
        <f>P264</f>
        <v>-5764</v>
      </c>
      <c r="D265" t="s">
        <v>27</v>
      </c>
      <c r="E265" s="71">
        <f>Q264</f>
        <v>14672</v>
      </c>
      <c r="F265" t="s">
        <v>32</v>
      </c>
    </row>
    <row r="266" spans="1:17" x14ac:dyDescent="0.2">
      <c r="A266" s="89" t="s">
        <v>29</v>
      </c>
      <c r="C266" s="72">
        <f>H264</f>
        <v>0</v>
      </c>
      <c r="F266" t="s">
        <v>423</v>
      </c>
    </row>
    <row r="267" spans="1:17" x14ac:dyDescent="0.2">
      <c r="A267" s="89" t="s">
        <v>26</v>
      </c>
      <c r="C267" s="73" t="str">
        <f>CONCATENATE(TEXT(M264,"0.000")," ",TEXT(N264,"0.000")," ",TEXT(O264,"0.000"))</f>
        <v>-489.025 1.000 988.416</v>
      </c>
    </row>
    <row r="268" spans="1:17" x14ac:dyDescent="0.2">
      <c r="B268" s="88" t="s">
        <v>455</v>
      </c>
      <c r="C268" s="75" t="str">
        <f>I264</f>
        <v>-0.018979 0.000000 0.999820 0.000000</v>
      </c>
    </row>
    <row r="269" spans="1:17" x14ac:dyDescent="0.2">
      <c r="B269" s="88" t="s">
        <v>452</v>
      </c>
      <c r="C269" s="75" t="str">
        <f t="shared" ref="C269:C275" si="8">C254</f>
        <v>-0.999820 0.000000 -0.018979 0.000000</v>
      </c>
    </row>
    <row r="270" spans="1:17" x14ac:dyDescent="0.2">
      <c r="B270" s="88" t="s">
        <v>453</v>
      </c>
      <c r="C270" s="75" t="str">
        <f t="shared" si="8"/>
        <v>0.000000 0.018979 0.000000 0.999820</v>
      </c>
    </row>
    <row r="271" spans="1:17" x14ac:dyDescent="0.2">
      <c r="B271" s="88" t="s">
        <v>454</v>
      </c>
      <c r="C271" s="75" t="str">
        <f t="shared" si="8"/>
        <v>0.000000 -0.999820 0.000000 0.018979</v>
      </c>
    </row>
    <row r="272" spans="1:17" x14ac:dyDescent="0.2">
      <c r="B272" s="88" t="s">
        <v>828</v>
      </c>
      <c r="C272" s="75" t="str">
        <f t="shared" si="8"/>
        <v>0.000000 -0.693559 0.000000 0.720400</v>
      </c>
    </row>
    <row r="273" spans="1:17" x14ac:dyDescent="0.2">
      <c r="B273" s="88" t="s">
        <v>829</v>
      </c>
      <c r="C273" s="75" t="str">
        <f t="shared" si="8"/>
        <v>0.000000 -0.720400 0.000000 -0.693559</v>
      </c>
    </row>
    <row r="274" spans="1:17" x14ac:dyDescent="0.2">
      <c r="B274" s="88" t="s">
        <v>830</v>
      </c>
      <c r="C274" s="75" t="str">
        <f t="shared" si="8"/>
        <v>0.000000 -0.693559 0.000000 0.720400</v>
      </c>
    </row>
    <row r="275" spans="1:17" x14ac:dyDescent="0.2">
      <c r="B275" s="88" t="s">
        <v>831</v>
      </c>
      <c r="C275" s="75" t="str">
        <f t="shared" si="8"/>
        <v>0.000000 -0.720400 0.000000 -0.693559</v>
      </c>
    </row>
    <row r="276" spans="1:17" x14ac:dyDescent="0.2">
      <c r="C276" s="12" t="s">
        <v>147</v>
      </c>
    </row>
    <row r="277" spans="1:17" x14ac:dyDescent="0.2">
      <c r="C277" s="41"/>
    </row>
    <row r="278" spans="1:17" x14ac:dyDescent="0.2">
      <c r="A278" s="25" t="s">
        <v>1284</v>
      </c>
      <c r="H278" s="1" t="s">
        <v>31</v>
      </c>
      <c r="I278" s="1" t="s">
        <v>30</v>
      </c>
      <c r="J278" s="1" t="s">
        <v>40</v>
      </c>
      <c r="K278" s="1" t="s">
        <v>41</v>
      </c>
      <c r="L278" s="1" t="s">
        <v>42</v>
      </c>
      <c r="M278" s="1" t="s">
        <v>14</v>
      </c>
      <c r="N278" s="1" t="s">
        <v>15</v>
      </c>
      <c r="O278" s="1" t="s">
        <v>16</v>
      </c>
      <c r="P278" s="1" t="s">
        <v>17</v>
      </c>
      <c r="Q278" s="1" t="s">
        <v>18</v>
      </c>
    </row>
    <row r="279" spans="1:17" x14ac:dyDescent="0.2">
      <c r="C279" s="26" t="str">
        <f>T(IF(ABS(C280-C265)+ABS(E280-E265)&lt;&gt;0,"WARNING:  TILE CHANGE -&gt; other world tile file!",""))</f>
        <v>WARNING:  TILE CHANGE -&gt; other world tile file!</v>
      </c>
      <c r="H279" s="1">
        <f>H264</f>
        <v>0</v>
      </c>
      <c r="I279" s="1" t="str">
        <f>I264</f>
        <v>-0.018979 0.000000 0.999820 0.000000</v>
      </c>
      <c r="J279" s="1">
        <f>J264</f>
        <v>-1.8975592692491188</v>
      </c>
      <c r="K279" s="1">
        <f>K264</f>
        <v>0</v>
      </c>
      <c r="L279" s="1">
        <f>L264</f>
        <v>49.964014965140215</v>
      </c>
      <c r="M279" s="1">
        <f>IF(ABS(M264+J279)&lt;=1024,M264+J279,IF(M264+J279&gt;1024,M264+J279-2048,M264+J279+2048))</f>
        <v>-490.92259269249143</v>
      </c>
      <c r="N279" s="1">
        <f>N264+K279</f>
        <v>1</v>
      </c>
      <c r="O279" s="1">
        <f>IF(ABS(O264+L279)&lt;=1024,O264+L279,IF(O264+L279&gt;1024,O264+L279-2048,O264+L279+2048))</f>
        <v>-1009.6198503485978</v>
      </c>
      <c r="P279" s="1">
        <f>IF(ABS(M264+J279)&lt;=1024,P264,IF(M264+J279&gt;1024,P264+1,P264-1))</f>
        <v>-5764</v>
      </c>
      <c r="Q279" s="1">
        <f>IF(ABS(O264+L279)&lt;=1024,Q264,IF(O264+L279&gt;1024,Q264+1,Q264-1))</f>
        <v>14673</v>
      </c>
    </row>
    <row r="280" spans="1:17" x14ac:dyDescent="0.2">
      <c r="A280" s="89" t="s">
        <v>28</v>
      </c>
      <c r="C280" s="71">
        <f>P279</f>
        <v>-5764</v>
      </c>
      <c r="D280" t="s">
        <v>27</v>
      </c>
      <c r="E280" s="71">
        <f>Q279</f>
        <v>14673</v>
      </c>
      <c r="F280" t="s">
        <v>32</v>
      </c>
    </row>
    <row r="281" spans="1:17" x14ac:dyDescent="0.2">
      <c r="A281" s="89" t="s">
        <v>29</v>
      </c>
      <c r="C281" s="72">
        <f>H279</f>
        <v>0</v>
      </c>
      <c r="F281" t="s">
        <v>423</v>
      </c>
    </row>
    <row r="282" spans="1:17" x14ac:dyDescent="0.2">
      <c r="A282" s="89" t="s">
        <v>26</v>
      </c>
      <c r="C282" s="73" t="str">
        <f>CONCATENATE(TEXT(M279,"0.000")," ",TEXT(N279,"0.000")," ",TEXT(O279,"0.000"))</f>
        <v>-490.923 1.000 -1009.620</v>
      </c>
    </row>
    <row r="283" spans="1:17" x14ac:dyDescent="0.2">
      <c r="B283" s="88" t="s">
        <v>455</v>
      </c>
      <c r="C283" s="75" t="str">
        <f>I279</f>
        <v>-0.018979 0.000000 0.999820 0.000000</v>
      </c>
    </row>
    <row r="284" spans="1:17" x14ac:dyDescent="0.2">
      <c r="B284" s="88" t="s">
        <v>452</v>
      </c>
      <c r="C284" s="75" t="str">
        <f t="shared" ref="C284:C290" si="9">C269</f>
        <v>-0.999820 0.000000 -0.018979 0.000000</v>
      </c>
    </row>
    <row r="285" spans="1:17" x14ac:dyDescent="0.2">
      <c r="B285" s="88" t="s">
        <v>453</v>
      </c>
      <c r="C285" s="75" t="str">
        <f t="shared" si="9"/>
        <v>0.000000 0.018979 0.000000 0.999820</v>
      </c>
    </row>
    <row r="286" spans="1:17" x14ac:dyDescent="0.2">
      <c r="B286" s="88" t="s">
        <v>454</v>
      </c>
      <c r="C286" s="75" t="str">
        <f t="shared" si="9"/>
        <v>0.000000 -0.999820 0.000000 0.018979</v>
      </c>
    </row>
    <row r="287" spans="1:17" x14ac:dyDescent="0.2">
      <c r="B287" s="88" t="s">
        <v>828</v>
      </c>
      <c r="C287" s="75" t="str">
        <f t="shared" si="9"/>
        <v>0.000000 -0.693559 0.000000 0.720400</v>
      </c>
    </row>
    <row r="288" spans="1:17" x14ac:dyDescent="0.2">
      <c r="B288" s="88" t="s">
        <v>829</v>
      </c>
      <c r="C288" s="75" t="str">
        <f t="shared" si="9"/>
        <v>0.000000 -0.720400 0.000000 -0.693559</v>
      </c>
    </row>
    <row r="289" spans="1:17" x14ac:dyDescent="0.2">
      <c r="B289" s="88" t="s">
        <v>830</v>
      </c>
      <c r="C289" s="75" t="str">
        <f t="shared" si="9"/>
        <v>0.000000 -0.693559 0.000000 0.720400</v>
      </c>
    </row>
    <row r="290" spans="1:17" x14ac:dyDescent="0.2">
      <c r="B290" s="88" t="s">
        <v>831</v>
      </c>
      <c r="C290" s="75" t="str">
        <f t="shared" si="9"/>
        <v>0.000000 -0.720400 0.000000 -0.693559</v>
      </c>
    </row>
    <row r="291" spans="1:17" x14ac:dyDescent="0.2">
      <c r="C291" s="12" t="s">
        <v>147</v>
      </c>
    </row>
    <row r="293" spans="1:17" x14ac:dyDescent="0.2">
      <c r="A293" s="25" t="s">
        <v>1285</v>
      </c>
      <c r="H293" s="1" t="s">
        <v>31</v>
      </c>
      <c r="I293" s="1" t="s">
        <v>30</v>
      </c>
      <c r="J293" s="1" t="s">
        <v>40</v>
      </c>
      <c r="K293" s="1" t="s">
        <v>41</v>
      </c>
      <c r="L293" s="1" t="s">
        <v>42</v>
      </c>
      <c r="M293" s="1" t="s">
        <v>14</v>
      </c>
      <c r="N293" s="1" t="s">
        <v>15</v>
      </c>
      <c r="O293" s="1" t="s">
        <v>16</v>
      </c>
      <c r="P293" s="1" t="s">
        <v>17</v>
      </c>
      <c r="Q293" s="1" t="s">
        <v>18</v>
      </c>
    </row>
    <row r="294" spans="1:17" x14ac:dyDescent="0.2">
      <c r="C294" s="26" t="str">
        <f>T(IF(ABS(C295-C280)+ABS(E295-E280)&lt;&gt;0,"WARNING:  TILE CHANGE -&gt; other world tile file!",""))</f>
        <v/>
      </c>
      <c r="H294" s="1">
        <f>H279</f>
        <v>0</v>
      </c>
      <c r="I294" s="1" t="str">
        <f>I279</f>
        <v>-0.018979 0.000000 0.999820 0.000000</v>
      </c>
      <c r="J294" s="1">
        <f>J279</f>
        <v>-1.8975592692491188</v>
      </c>
      <c r="K294" s="1">
        <f>K279</f>
        <v>0</v>
      </c>
      <c r="L294" s="1">
        <f>L279</f>
        <v>49.964014965140215</v>
      </c>
      <c r="M294" s="1">
        <f>IF(ABS(M279+J294)&lt;=1024,M279+J294,IF(M279+J294&gt;1024,M279+J294-2048,M279+J294+2048))</f>
        <v>-492.82015196174058</v>
      </c>
      <c r="N294" s="1">
        <f>N279+K294</f>
        <v>1</v>
      </c>
      <c r="O294" s="1">
        <f>IF(ABS(O279+L294)&lt;=1024,O279+L294,IF(O279+L294&gt;1024,O279+L294-2048,O279+L294+2048))</f>
        <v>-959.65583538345754</v>
      </c>
      <c r="P294" s="1">
        <f>IF(ABS(M279+J294)&lt;=1024,P279,IF(M279+J294&gt;1024,P279+1,P279-1))</f>
        <v>-5764</v>
      </c>
      <c r="Q294" s="1">
        <f>IF(ABS(O279+L294)&lt;=1024,Q279,IF(O279+L294&gt;1024,Q279+1,Q279-1))</f>
        <v>14673</v>
      </c>
    </row>
    <row r="295" spans="1:17" x14ac:dyDescent="0.2">
      <c r="A295" s="89" t="s">
        <v>28</v>
      </c>
      <c r="C295" s="71">
        <f>P294</f>
        <v>-5764</v>
      </c>
      <c r="D295" t="s">
        <v>27</v>
      </c>
      <c r="E295" s="71">
        <f>Q294</f>
        <v>14673</v>
      </c>
      <c r="F295" t="s">
        <v>32</v>
      </c>
    </row>
    <row r="296" spans="1:17" x14ac:dyDescent="0.2">
      <c r="A296" s="89" t="s">
        <v>29</v>
      </c>
      <c r="C296" s="72">
        <f>H294</f>
        <v>0</v>
      </c>
      <c r="F296" t="s">
        <v>423</v>
      </c>
    </row>
    <row r="297" spans="1:17" x14ac:dyDescent="0.2">
      <c r="A297" s="89" t="s">
        <v>26</v>
      </c>
      <c r="C297" s="73" t="str">
        <f>CONCATENATE(TEXT(M294,"0.000")," ",TEXT(N294,"0.000")," ",TEXT(O294,"0.000"))</f>
        <v>-492.820 1.000 -959.656</v>
      </c>
    </row>
    <row r="298" spans="1:17" x14ac:dyDescent="0.2">
      <c r="B298" s="88" t="s">
        <v>455</v>
      </c>
      <c r="C298" s="75" t="str">
        <f>I294</f>
        <v>-0.018979 0.000000 0.999820 0.000000</v>
      </c>
    </row>
    <row r="299" spans="1:17" x14ac:dyDescent="0.2">
      <c r="B299" s="88" t="s">
        <v>452</v>
      </c>
      <c r="C299" s="75" t="str">
        <f t="shared" ref="C299:C305" si="10">C284</f>
        <v>-0.999820 0.000000 -0.018979 0.000000</v>
      </c>
    </row>
    <row r="300" spans="1:17" x14ac:dyDescent="0.2">
      <c r="B300" s="88" t="s">
        <v>453</v>
      </c>
      <c r="C300" s="75" t="str">
        <f t="shared" si="10"/>
        <v>0.000000 0.018979 0.000000 0.999820</v>
      </c>
    </row>
    <row r="301" spans="1:17" x14ac:dyDescent="0.2">
      <c r="B301" s="88" t="s">
        <v>454</v>
      </c>
      <c r="C301" s="75" t="str">
        <f t="shared" si="10"/>
        <v>0.000000 -0.999820 0.000000 0.018979</v>
      </c>
    </row>
    <row r="302" spans="1:17" x14ac:dyDescent="0.2">
      <c r="B302" s="88" t="s">
        <v>828</v>
      </c>
      <c r="C302" s="75" t="str">
        <f t="shared" si="10"/>
        <v>0.000000 -0.693559 0.000000 0.720400</v>
      </c>
    </row>
    <row r="303" spans="1:17" x14ac:dyDescent="0.2">
      <c r="B303" s="88" t="s">
        <v>829</v>
      </c>
      <c r="C303" s="75" t="str">
        <f t="shared" si="10"/>
        <v>0.000000 -0.720400 0.000000 -0.693559</v>
      </c>
    </row>
    <row r="304" spans="1:17" x14ac:dyDescent="0.2">
      <c r="B304" s="88" t="s">
        <v>830</v>
      </c>
      <c r="C304" s="75" t="str">
        <f t="shared" si="10"/>
        <v>0.000000 -0.693559 0.000000 0.720400</v>
      </c>
    </row>
    <row r="305" spans="1:12" x14ac:dyDescent="0.2">
      <c r="B305" s="88" t="s">
        <v>831</v>
      </c>
      <c r="C305" s="75" t="str">
        <f t="shared" si="10"/>
        <v>0.000000 -0.720400 0.000000 -0.693559</v>
      </c>
    </row>
    <row r="306" spans="1:12" x14ac:dyDescent="0.2">
      <c r="C306" s="12" t="s">
        <v>147</v>
      </c>
    </row>
    <row r="308" spans="1:12" x14ac:dyDescent="0.2">
      <c r="A308" s="82" t="s">
        <v>1304</v>
      </c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</row>
    <row r="309" spans="1:12" x14ac:dyDescent="0.2">
      <c r="A309" s="44"/>
      <c r="B309" t="s">
        <v>146</v>
      </c>
    </row>
    <row r="310" spans="1:12" x14ac:dyDescent="0.2">
      <c r="A310" s="44"/>
    </row>
    <row r="311" spans="1:12" x14ac:dyDescent="0.2">
      <c r="A311" s="82" t="s">
        <v>1303</v>
      </c>
      <c r="B311" s="11"/>
      <c r="C311" s="11"/>
      <c r="D311" s="11"/>
      <c r="E311" s="11"/>
    </row>
    <row r="312" spans="1:12" x14ac:dyDescent="0.2">
      <c r="A312" s="44"/>
    </row>
    <row r="313" spans="1:12" x14ac:dyDescent="0.2">
      <c r="A313" s="13" t="s">
        <v>131</v>
      </c>
    </row>
    <row r="314" spans="1:12" x14ac:dyDescent="0.2">
      <c r="A314" s="13"/>
      <c r="B314" t="s">
        <v>186</v>
      </c>
    </row>
    <row r="315" spans="1:12" x14ac:dyDescent="0.2">
      <c r="A315" s="13" t="s">
        <v>567</v>
      </c>
    </row>
    <row r="316" spans="1:12" x14ac:dyDescent="0.2">
      <c r="A316" s="13"/>
      <c r="B316" t="s">
        <v>562</v>
      </c>
    </row>
    <row r="317" spans="1:12" x14ac:dyDescent="0.2">
      <c r="A317" s="13"/>
    </row>
    <row r="318" spans="1:12" x14ac:dyDescent="0.2">
      <c r="A318" s="82" t="s">
        <v>218</v>
      </c>
      <c r="B318" s="11"/>
      <c r="C318" s="11"/>
      <c r="D318" s="11"/>
      <c r="E318" s="11"/>
      <c r="F318" s="10"/>
      <c r="G318" s="10"/>
    </row>
    <row r="319" spans="1:12" x14ac:dyDescent="0.2">
      <c r="A319" s="41"/>
    </row>
    <row r="320" spans="1:12" x14ac:dyDescent="0.2">
      <c r="A320" s="41" t="s">
        <v>132</v>
      </c>
    </row>
    <row r="321" spans="1:6" x14ac:dyDescent="0.2">
      <c r="A321" s="41" t="s">
        <v>584</v>
      </c>
    </row>
    <row r="322" spans="1:6" x14ac:dyDescent="0.2">
      <c r="A322" s="41"/>
    </row>
    <row r="323" spans="1:6" x14ac:dyDescent="0.2">
      <c r="A323" s="82" t="s">
        <v>213</v>
      </c>
      <c r="B323" s="10"/>
      <c r="C323" s="10"/>
      <c r="D323" s="10"/>
      <c r="E323" s="10"/>
      <c r="F323" s="10"/>
    </row>
    <row r="324" spans="1:6" x14ac:dyDescent="0.2">
      <c r="A324" s="41"/>
    </row>
    <row r="325" spans="1:6" x14ac:dyDescent="0.2">
      <c r="A325" s="41" t="s">
        <v>1169</v>
      </c>
    </row>
    <row r="326" spans="1:6" x14ac:dyDescent="0.2">
      <c r="A326" s="41"/>
    </row>
    <row r="327" spans="1:6" x14ac:dyDescent="0.2">
      <c r="A327" s="82" t="s">
        <v>214</v>
      </c>
      <c r="B327" s="10"/>
    </row>
    <row r="328" spans="1:6" s="28" customFormat="1" ht="13.5" thickBot="1" x14ac:dyDescent="0.25">
      <c r="A328" s="48"/>
    </row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5"/>
  <sheetViews>
    <sheetView workbookViewId="0">
      <selection activeCell="A2" sqref="A2"/>
    </sheetView>
  </sheetViews>
  <sheetFormatPr defaultRowHeight="12.75" x14ac:dyDescent="0.2"/>
  <cols>
    <col min="12" max="19" width="0" hidden="1" customWidth="1"/>
  </cols>
  <sheetData>
    <row r="1" spans="1:3" s="5" customFormat="1" x14ac:dyDescent="0.2">
      <c r="A1" s="14" t="s">
        <v>836</v>
      </c>
      <c r="B1" s="14"/>
    </row>
    <row r="3" spans="1:3" x14ac:dyDescent="0.2">
      <c r="A3" s="33" t="s">
        <v>837</v>
      </c>
    </row>
    <row r="4" spans="1:3" x14ac:dyDescent="0.2">
      <c r="A4" s="33"/>
      <c r="B4" t="s">
        <v>838</v>
      </c>
    </row>
    <row r="5" spans="1:3" x14ac:dyDescent="0.2">
      <c r="B5" t="s">
        <v>578</v>
      </c>
    </row>
    <row r="6" spans="1:3" x14ac:dyDescent="0.2">
      <c r="B6" t="s">
        <v>659</v>
      </c>
    </row>
    <row r="8" spans="1:3" x14ac:dyDescent="0.2">
      <c r="A8" t="s">
        <v>492</v>
      </c>
    </row>
    <row r="9" spans="1:3" x14ac:dyDescent="0.2">
      <c r="B9" t="s">
        <v>493</v>
      </c>
    </row>
    <row r="11" spans="1:3" x14ac:dyDescent="0.2">
      <c r="A11" t="s">
        <v>579</v>
      </c>
    </row>
    <row r="12" spans="1:3" x14ac:dyDescent="0.2">
      <c r="B12" s="3" t="s">
        <v>345</v>
      </c>
    </row>
    <row r="13" spans="1:3" x14ac:dyDescent="0.2">
      <c r="C13" t="s">
        <v>596</v>
      </c>
    </row>
    <row r="14" spans="1:3" x14ac:dyDescent="0.2">
      <c r="B14" s="3" t="s">
        <v>597</v>
      </c>
    </row>
    <row r="15" spans="1:3" x14ac:dyDescent="0.2">
      <c r="B15" s="3"/>
      <c r="C15" t="s">
        <v>580</v>
      </c>
    </row>
    <row r="16" spans="1:3" s="28" customFormat="1" ht="13.5" thickBot="1" x14ac:dyDescent="0.25"/>
    <row r="17" spans="1:11" s="27" customFormat="1" x14ac:dyDescent="0.2">
      <c r="A17" s="8" t="s">
        <v>544</v>
      </c>
      <c r="B17" s="8"/>
      <c r="C17" s="8"/>
      <c r="D17" s="8"/>
      <c r="E17" s="8"/>
      <c r="F17" s="8"/>
    </row>
    <row r="18" spans="1:11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"/>
      <c r="K18" s="2"/>
    </row>
    <row r="19" spans="1:11" x14ac:dyDescent="0.2">
      <c r="A19" s="82" t="s">
        <v>1313</v>
      </c>
      <c r="B19" s="11"/>
      <c r="C19" s="11"/>
      <c r="D19" s="11"/>
      <c r="E19" s="11"/>
      <c r="F19" s="11"/>
      <c r="G19" s="11"/>
      <c r="H19" s="21"/>
      <c r="I19" s="21"/>
      <c r="J19" s="2"/>
      <c r="K19" s="2"/>
    </row>
    <row r="20" spans="1:1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"/>
      <c r="K20" s="2"/>
    </row>
    <row r="21" spans="1:11" x14ac:dyDescent="0.2">
      <c r="A21" s="40" t="s">
        <v>346</v>
      </c>
      <c r="B21" s="21"/>
      <c r="C21" s="21"/>
      <c r="D21" s="21"/>
      <c r="E21" s="21"/>
      <c r="F21" s="21"/>
      <c r="G21" s="21"/>
      <c r="H21" s="21"/>
      <c r="I21" s="21"/>
      <c r="J21" s="2"/>
      <c r="K21" s="2"/>
    </row>
    <row r="22" spans="1:11" x14ac:dyDescent="0.2">
      <c r="A22" s="41"/>
      <c r="B22" s="21" t="s">
        <v>587</v>
      </c>
      <c r="C22" s="21"/>
      <c r="D22" s="21"/>
      <c r="E22" s="21"/>
      <c r="F22" s="21"/>
      <c r="G22" s="21"/>
      <c r="H22" s="21"/>
      <c r="I22" s="21"/>
      <c r="J22" s="2"/>
      <c r="K22" s="2"/>
    </row>
    <row r="23" spans="1:11" x14ac:dyDescent="0.2">
      <c r="A23" s="21"/>
      <c r="B23" s="21" t="s">
        <v>588</v>
      </c>
      <c r="C23" s="21"/>
      <c r="D23" s="21"/>
      <c r="E23" s="21"/>
      <c r="F23" s="21"/>
      <c r="G23" s="21"/>
      <c r="H23" s="21"/>
      <c r="I23" s="21"/>
      <c r="J23" s="2"/>
      <c r="K23" s="2"/>
    </row>
    <row r="24" spans="1:11" x14ac:dyDescent="0.2">
      <c r="A24" s="21"/>
      <c r="B24" s="16" t="s">
        <v>593</v>
      </c>
      <c r="C24" s="21"/>
      <c r="D24" s="21"/>
      <c r="E24" s="21"/>
      <c r="F24" s="21"/>
      <c r="G24" s="21"/>
      <c r="H24" s="21"/>
      <c r="I24" s="21"/>
      <c r="J24" s="2"/>
      <c r="K24" s="2"/>
    </row>
    <row r="25" spans="1:11" x14ac:dyDescent="0.2">
      <c r="A25" s="21"/>
      <c r="B25" s="21"/>
      <c r="C25" s="21" t="s">
        <v>594</v>
      </c>
      <c r="D25" s="21"/>
      <c r="E25" s="21"/>
      <c r="F25" s="21"/>
      <c r="G25" s="21"/>
      <c r="H25" s="21"/>
      <c r="I25" s="21"/>
      <c r="J25" s="2"/>
      <c r="K25" s="2"/>
    </row>
    <row r="26" spans="1:11" x14ac:dyDescent="0.2">
      <c r="A26" s="21"/>
      <c r="B26" s="21"/>
      <c r="C26" s="21" t="s">
        <v>592</v>
      </c>
      <c r="D26" s="21"/>
      <c r="E26" s="21"/>
      <c r="F26" s="21"/>
      <c r="G26" s="21"/>
      <c r="H26" s="21"/>
      <c r="I26" s="21"/>
      <c r="J26" s="2"/>
      <c r="K26" s="2"/>
    </row>
    <row r="27" spans="1:11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"/>
      <c r="K27" s="2"/>
    </row>
    <row r="28" spans="1:11" x14ac:dyDescent="0.2">
      <c r="A28" s="40" t="s">
        <v>348</v>
      </c>
      <c r="B28" s="21"/>
      <c r="C28" s="21"/>
      <c r="D28" s="21"/>
      <c r="E28" s="21"/>
      <c r="F28" s="21"/>
      <c r="G28" s="21"/>
      <c r="H28" s="21"/>
      <c r="I28" s="21"/>
      <c r="J28" s="2"/>
      <c r="K28" s="2"/>
    </row>
    <row r="29" spans="1:11" x14ac:dyDescent="0.2">
      <c r="A29" s="21"/>
      <c r="B29" s="21" t="s">
        <v>349</v>
      </c>
      <c r="C29" s="21"/>
      <c r="D29" s="21"/>
      <c r="E29" s="21"/>
      <c r="F29" s="21"/>
      <c r="G29" s="21"/>
      <c r="H29" s="21"/>
      <c r="I29" s="21"/>
      <c r="J29" s="2"/>
      <c r="K29" s="2"/>
    </row>
    <row r="30" spans="1:11" x14ac:dyDescent="0.2">
      <c r="A30" s="21"/>
      <c r="B30" s="16" t="s">
        <v>593</v>
      </c>
      <c r="C30" s="21"/>
      <c r="D30" s="21"/>
      <c r="E30" s="21"/>
      <c r="F30" s="21"/>
      <c r="G30" s="21"/>
      <c r="H30" s="21"/>
      <c r="I30" s="21"/>
      <c r="J30" s="2"/>
      <c r="K30" s="2"/>
    </row>
    <row r="31" spans="1:11" x14ac:dyDescent="0.2">
      <c r="A31" s="21"/>
      <c r="B31" s="21"/>
      <c r="C31" s="21" t="s">
        <v>594</v>
      </c>
      <c r="D31" s="21"/>
      <c r="E31" s="21"/>
      <c r="F31" s="21"/>
      <c r="G31" s="21"/>
      <c r="H31" s="21"/>
      <c r="I31" s="21"/>
      <c r="J31" s="2"/>
      <c r="K31" s="2"/>
    </row>
    <row r="32" spans="1:11" x14ac:dyDescent="0.2">
      <c r="A32" s="21"/>
      <c r="B32" s="21"/>
      <c r="C32" s="21" t="s">
        <v>592</v>
      </c>
      <c r="D32" s="21"/>
      <c r="E32" s="21"/>
      <c r="F32" s="21"/>
      <c r="G32" s="21"/>
      <c r="H32" s="21"/>
      <c r="I32" s="21"/>
      <c r="J32" s="2"/>
      <c r="K32" s="2"/>
    </row>
    <row r="33" spans="1:26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"/>
      <c r="K33" s="2"/>
    </row>
    <row r="34" spans="1:26" x14ac:dyDescent="0.2">
      <c r="A34" s="40" t="s">
        <v>347</v>
      </c>
      <c r="B34" s="21"/>
      <c r="C34" s="21"/>
      <c r="D34" s="21"/>
      <c r="E34" s="21"/>
      <c r="F34" s="21"/>
      <c r="G34" s="21"/>
      <c r="H34" s="21"/>
      <c r="I34" s="21"/>
      <c r="J34" s="2"/>
      <c r="K34" s="2"/>
    </row>
    <row r="35" spans="1:26" x14ac:dyDescent="0.2">
      <c r="A35" s="21"/>
      <c r="B35" s="21" t="s">
        <v>582</v>
      </c>
      <c r="C35" s="21"/>
      <c r="D35" s="21"/>
      <c r="E35" s="21"/>
      <c r="F35" s="21"/>
      <c r="G35" s="21"/>
      <c r="H35" s="21"/>
      <c r="I35" s="21"/>
      <c r="J35" s="2"/>
      <c r="K35" s="2"/>
    </row>
    <row r="36" spans="1:26" x14ac:dyDescent="0.2">
      <c r="A36" s="21"/>
      <c r="B36" s="21" t="s">
        <v>583</v>
      </c>
      <c r="C36" s="21"/>
      <c r="D36" s="21"/>
      <c r="E36" s="21"/>
      <c r="F36" s="21"/>
      <c r="G36" s="21"/>
      <c r="H36" s="21"/>
      <c r="I36" s="21"/>
      <c r="J36" s="2"/>
      <c r="K36" s="2"/>
    </row>
    <row r="37" spans="1:26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"/>
      <c r="K37" s="2"/>
    </row>
    <row r="38" spans="1:26" x14ac:dyDescent="0.2">
      <c r="A38" s="82" t="s">
        <v>1314</v>
      </c>
      <c r="B38" s="11"/>
      <c r="C38" s="11"/>
      <c r="D38" s="11"/>
      <c r="E38" s="11"/>
      <c r="F38" s="11"/>
      <c r="I38" s="21"/>
      <c r="J38" s="2"/>
      <c r="K38" s="2"/>
    </row>
    <row r="39" spans="1:26" x14ac:dyDescent="0.2">
      <c r="I39" s="21"/>
      <c r="J39" s="2"/>
      <c r="K39" s="2"/>
      <c r="Q39" s="43">
        <v>-5764</v>
      </c>
      <c r="R39" s="43">
        <v>14672</v>
      </c>
    </row>
    <row r="40" spans="1:26" x14ac:dyDescent="0.2">
      <c r="A40" t="s">
        <v>350</v>
      </c>
      <c r="I40" s="21"/>
      <c r="J40" s="2"/>
      <c r="K40" s="2"/>
      <c r="Q40" s="43"/>
      <c r="R40" s="43"/>
    </row>
    <row r="41" spans="1:26" x14ac:dyDescent="0.2">
      <c r="I41" s="21"/>
      <c r="J41" s="2"/>
      <c r="K41" s="2"/>
      <c r="Q41" s="43"/>
      <c r="R41" s="43"/>
    </row>
    <row r="42" spans="1:26" x14ac:dyDescent="0.2">
      <c r="B42" s="82" t="s">
        <v>557</v>
      </c>
      <c r="C42" s="11"/>
      <c r="D42" s="70">
        <v>-5764</v>
      </c>
      <c r="F42" s="82" t="s">
        <v>556</v>
      </c>
      <c r="G42" s="11"/>
      <c r="H42" s="70">
        <v>14672</v>
      </c>
      <c r="I42" s="49" t="s">
        <v>565</v>
      </c>
      <c r="J42" s="90"/>
      <c r="K42" s="2"/>
      <c r="Q42" s="43">
        <v>-6082</v>
      </c>
      <c r="R42" s="43">
        <v>14931</v>
      </c>
    </row>
    <row r="43" spans="1:26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"/>
      <c r="K43" s="2"/>
    </row>
    <row r="44" spans="1:26" x14ac:dyDescent="0.2">
      <c r="A44" s="82" t="s">
        <v>1315</v>
      </c>
      <c r="B44" s="11"/>
      <c r="C44" s="11"/>
      <c r="D44" s="11"/>
      <c r="E44" s="11"/>
      <c r="F44" s="11"/>
      <c r="G44" s="11"/>
    </row>
    <row r="46" spans="1:26" x14ac:dyDescent="0.2">
      <c r="A46" t="s">
        <v>679</v>
      </c>
    </row>
    <row r="47" spans="1:26" x14ac:dyDescent="0.2">
      <c r="B47" t="s">
        <v>20</v>
      </c>
    </row>
    <row r="48" spans="1:26" x14ac:dyDescent="0.2">
      <c r="B48" t="s">
        <v>21</v>
      </c>
      <c r="O48" s="19"/>
      <c r="P48" s="19"/>
      <c r="Q48" s="19"/>
      <c r="R48" s="19"/>
      <c r="S48" s="1"/>
      <c r="T48" s="1"/>
      <c r="U48" s="1"/>
      <c r="V48" s="34"/>
      <c r="W48" s="1"/>
      <c r="X48" s="34"/>
      <c r="Y48" s="34"/>
      <c r="Z48" s="1"/>
    </row>
    <row r="49" spans="1:26" x14ac:dyDescent="0.2">
      <c r="B49" t="s">
        <v>25</v>
      </c>
      <c r="O49" s="19"/>
      <c r="P49" s="19"/>
      <c r="Q49" s="19"/>
      <c r="R49" s="19"/>
      <c r="S49" s="1"/>
      <c r="T49" s="1"/>
      <c r="U49" s="1"/>
      <c r="V49" s="1"/>
      <c r="W49" s="1"/>
      <c r="X49" s="1"/>
      <c r="Y49" s="1"/>
      <c r="Z49" s="1"/>
    </row>
    <row r="50" spans="1:26" x14ac:dyDescent="0.2">
      <c r="O50" s="1"/>
      <c r="P50" s="1"/>
      <c r="Q50" s="1"/>
      <c r="R50" s="1"/>
      <c r="S50" s="19"/>
      <c r="T50" s="2"/>
      <c r="U50" s="2"/>
      <c r="V50" s="2"/>
      <c r="W50" s="2"/>
      <c r="X50" s="2"/>
      <c r="Y50" s="2"/>
      <c r="Z50" s="2"/>
    </row>
    <row r="51" spans="1:26" x14ac:dyDescent="0.2">
      <c r="A51" t="s">
        <v>589</v>
      </c>
      <c r="O51" s="1"/>
      <c r="P51" s="1"/>
      <c r="Q51" s="1"/>
      <c r="R51" s="1"/>
      <c r="S51" s="19"/>
      <c r="T51" s="19"/>
      <c r="U51" s="19"/>
      <c r="V51" s="21"/>
      <c r="W51" s="2"/>
      <c r="X51" s="2"/>
      <c r="Y51" s="2"/>
      <c r="Z51" s="2"/>
    </row>
    <row r="52" spans="1:26" x14ac:dyDescent="0.2">
      <c r="B52" t="s">
        <v>595</v>
      </c>
      <c r="K52" s="59"/>
      <c r="O52" s="19"/>
      <c r="P52" s="19"/>
      <c r="Q52" s="19"/>
      <c r="R52" s="19"/>
      <c r="S52" s="19"/>
      <c r="T52" s="77"/>
      <c r="U52" s="19"/>
      <c r="V52" s="21"/>
      <c r="W52" s="2"/>
      <c r="X52" s="2"/>
      <c r="Y52" s="2"/>
      <c r="Z52" s="2"/>
    </row>
    <row r="53" spans="1:26" x14ac:dyDescent="0.2">
      <c r="B53" t="s">
        <v>520</v>
      </c>
      <c r="I53" s="49" t="s">
        <v>565</v>
      </c>
      <c r="Q53" s="36" t="s">
        <v>563</v>
      </c>
    </row>
    <row r="54" spans="1:26" x14ac:dyDescent="0.2">
      <c r="A54" s="70">
        <v>0</v>
      </c>
      <c r="B54" s="11" t="s">
        <v>58</v>
      </c>
      <c r="C54" s="11"/>
      <c r="D54" s="11"/>
      <c r="E54" s="11"/>
      <c r="F54" s="11"/>
      <c r="G54" s="11"/>
      <c r="H54" s="11"/>
      <c r="I54" s="67" t="s">
        <v>563</v>
      </c>
      <c r="L54" s="19">
        <f>VALUE(MID(I54,1,L55-1))</f>
        <v>-958.64499999999998</v>
      </c>
      <c r="M54" s="19">
        <f>VALUE(MID(I54,L55+1,M55-L55-1))</f>
        <v>1788.74</v>
      </c>
      <c r="N54" s="19">
        <f>VALUE(MID(I54,M55+1,N55-M55))</f>
        <v>389.66800000000001</v>
      </c>
      <c r="Q54" s="36" t="s">
        <v>33</v>
      </c>
    </row>
    <row r="55" spans="1:26" x14ac:dyDescent="0.2">
      <c r="A55" s="42"/>
      <c r="C55" t="s">
        <v>176</v>
      </c>
      <c r="I55" s="2"/>
      <c r="L55" s="1">
        <f>SEARCH(" ",I54,1)</f>
        <v>9</v>
      </c>
      <c r="M55" s="1">
        <f>SEARCH(" ",I54,L55+1)</f>
        <v>17</v>
      </c>
      <c r="N55" s="1">
        <f>LEN(I54)</f>
        <v>24</v>
      </c>
    </row>
    <row r="56" spans="1:26" x14ac:dyDescent="0.2">
      <c r="A56" s="42"/>
      <c r="C56" t="s">
        <v>11</v>
      </c>
      <c r="I56" s="49" t="s">
        <v>565</v>
      </c>
      <c r="Q56" s="36">
        <v>-959.45299999999997</v>
      </c>
      <c r="R56" s="43">
        <v>1789.027</v>
      </c>
      <c r="S56" s="43">
        <v>389.94799999999998</v>
      </c>
    </row>
    <row r="57" spans="1:26" x14ac:dyDescent="0.2">
      <c r="A57" s="70">
        <v>1</v>
      </c>
      <c r="B57" s="11" t="s">
        <v>59</v>
      </c>
      <c r="C57" s="11"/>
      <c r="D57" s="11"/>
      <c r="E57" s="11"/>
      <c r="F57" s="11"/>
      <c r="G57" s="11"/>
      <c r="H57" s="11"/>
      <c r="I57" s="67">
        <v>16.315999999999999</v>
      </c>
      <c r="J57" s="70">
        <v>1</v>
      </c>
      <c r="K57" s="70">
        <v>-913.83100000000002</v>
      </c>
      <c r="Q57" s="36">
        <v>518.92999999999995</v>
      </c>
      <c r="R57" s="43">
        <v>16.260000000000002</v>
      </c>
      <c r="S57" s="43">
        <v>-82.87</v>
      </c>
    </row>
    <row r="58" spans="1:26" x14ac:dyDescent="0.2">
      <c r="A58" s="26" t="str">
        <f>T(IF(SIGN(ABS(A54))+SIGN(ABS(A57))&lt;&gt;1,"NEED A 1 AND A 0 ABOVE!!",""))</f>
        <v/>
      </c>
      <c r="D58" s="13" t="s">
        <v>581</v>
      </c>
      <c r="I58" s="19" t="s">
        <v>36</v>
      </c>
      <c r="J58" s="19" t="s">
        <v>37</v>
      </c>
      <c r="K58" s="19" t="s">
        <v>38</v>
      </c>
    </row>
    <row r="59" spans="1:26" x14ac:dyDescent="0.2">
      <c r="G59" s="1" t="s">
        <v>552</v>
      </c>
      <c r="H59" s="1"/>
      <c r="I59" s="1">
        <f>IF(A54&gt;0,L54,I57)</f>
        <v>16.315999999999999</v>
      </c>
      <c r="J59" s="1">
        <f>IF(A54&gt;0,M54,J57)</f>
        <v>1</v>
      </c>
      <c r="K59" s="1">
        <f>IF(A54&gt;0,N54,K57)</f>
        <v>-913.83100000000002</v>
      </c>
    </row>
    <row r="60" spans="1:26" x14ac:dyDescent="0.2">
      <c r="A60" s="82" t="s">
        <v>1316</v>
      </c>
      <c r="B60" s="11"/>
      <c r="C60" s="11"/>
      <c r="D60" s="11"/>
      <c r="E60" s="11"/>
      <c r="F60" s="11"/>
      <c r="G60" s="11"/>
    </row>
    <row r="62" spans="1:26" x14ac:dyDescent="0.2">
      <c r="A62" t="s">
        <v>591</v>
      </c>
    </row>
    <row r="64" spans="1:26" x14ac:dyDescent="0.2">
      <c r="A64" s="82" t="s">
        <v>1317</v>
      </c>
      <c r="B64" s="11"/>
      <c r="C64" s="11"/>
      <c r="D64" s="11"/>
      <c r="E64" s="11"/>
      <c r="I64" s="21"/>
      <c r="J64" s="2"/>
      <c r="K64" s="2"/>
    </row>
    <row r="65" spans="1:19" x14ac:dyDescent="0.2">
      <c r="I65" s="21"/>
      <c r="J65" s="2"/>
      <c r="K65" s="2"/>
      <c r="Q65" s="43">
        <v>-5762</v>
      </c>
      <c r="R65" s="43">
        <v>14671</v>
      </c>
    </row>
    <row r="66" spans="1:19" x14ac:dyDescent="0.2">
      <c r="A66" t="s">
        <v>350</v>
      </c>
      <c r="I66" s="21"/>
      <c r="J66" s="2"/>
      <c r="K66" s="2"/>
      <c r="Q66" s="43"/>
      <c r="R66" s="43"/>
    </row>
    <row r="67" spans="1:19" x14ac:dyDescent="0.2">
      <c r="I67" s="21"/>
      <c r="J67" s="2"/>
      <c r="K67" s="2"/>
      <c r="Q67" s="43"/>
      <c r="R67" s="43"/>
    </row>
    <row r="68" spans="1:19" x14ac:dyDescent="0.2">
      <c r="B68" s="82" t="s">
        <v>557</v>
      </c>
      <c r="C68" s="11"/>
      <c r="D68" s="70">
        <v>-5764</v>
      </c>
      <c r="F68" s="82" t="s">
        <v>556</v>
      </c>
      <c r="G68" s="11"/>
      <c r="H68" s="70">
        <v>14672</v>
      </c>
      <c r="I68" s="49" t="s">
        <v>566</v>
      </c>
      <c r="J68" s="2"/>
      <c r="K68" s="2"/>
      <c r="Q68" s="43">
        <v>-6085</v>
      </c>
      <c r="R68" s="43">
        <v>14928</v>
      </c>
    </row>
    <row r="69" spans="1:19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"/>
      <c r="K69" s="2"/>
    </row>
    <row r="70" spans="1:19" x14ac:dyDescent="0.2">
      <c r="A70" s="82" t="s">
        <v>1318</v>
      </c>
      <c r="B70" s="11"/>
      <c r="C70" s="11"/>
      <c r="D70" s="11"/>
      <c r="E70" s="11"/>
      <c r="F70" s="11"/>
      <c r="G70" s="11"/>
    </row>
    <row r="72" spans="1:19" x14ac:dyDescent="0.2">
      <c r="A72" t="s">
        <v>589</v>
      </c>
    </row>
    <row r="73" spans="1:19" x14ac:dyDescent="0.2">
      <c r="B73" t="s">
        <v>590</v>
      </c>
    </row>
    <row r="74" spans="1:19" x14ac:dyDescent="0.2">
      <c r="B74" t="s">
        <v>520</v>
      </c>
      <c r="I74" s="49" t="s">
        <v>566</v>
      </c>
      <c r="Q74" s="36" t="s">
        <v>564</v>
      </c>
    </row>
    <row r="75" spans="1:19" x14ac:dyDescent="0.2">
      <c r="A75" s="70">
        <v>0</v>
      </c>
      <c r="B75" s="11" t="s">
        <v>58</v>
      </c>
      <c r="C75" s="11"/>
      <c r="D75" s="11"/>
      <c r="E75" s="11"/>
      <c r="F75" s="11"/>
      <c r="G75" s="11"/>
      <c r="H75" s="11"/>
      <c r="I75" s="67" t="s">
        <v>564</v>
      </c>
      <c r="L75" s="19">
        <f>VALUE(MID(I75,1,L76-1))</f>
        <v>563.92399999999998</v>
      </c>
      <c r="M75" s="19">
        <f>VALUE(MID(I75,L76+1,M76-L76-1))</f>
        <v>1815.04</v>
      </c>
      <c r="N75" s="19">
        <f>VALUE(MID(I75,M76+1,N76-M76))</f>
        <v>-810.30799999999999</v>
      </c>
      <c r="Q75" s="36" t="s">
        <v>573</v>
      </c>
    </row>
    <row r="76" spans="1:19" x14ac:dyDescent="0.2">
      <c r="A76" s="42"/>
      <c r="C76" t="s">
        <v>546</v>
      </c>
      <c r="I76" s="2"/>
      <c r="L76" s="1">
        <f>SEARCH(" ",I75,1)</f>
        <v>8</v>
      </c>
      <c r="M76" s="1">
        <f>SEARCH(" ",I75,L76+1)</f>
        <v>16</v>
      </c>
      <c r="N76" s="1">
        <f>LEN(I75)</f>
        <v>24</v>
      </c>
    </row>
    <row r="77" spans="1:19" x14ac:dyDescent="0.2">
      <c r="A77" s="42"/>
      <c r="C77" t="s">
        <v>11</v>
      </c>
      <c r="I77" s="49" t="s">
        <v>566</v>
      </c>
      <c r="Q77" s="36">
        <v>609.22900000000004</v>
      </c>
      <c r="R77" s="43">
        <v>1815.16</v>
      </c>
      <c r="S77" s="43">
        <v>-836.59100000000001</v>
      </c>
    </row>
    <row r="78" spans="1:19" x14ac:dyDescent="0.2">
      <c r="A78" s="70">
        <v>1</v>
      </c>
      <c r="B78" s="11" t="s">
        <v>59</v>
      </c>
      <c r="C78" s="11"/>
      <c r="D78" s="11"/>
      <c r="E78" s="11"/>
      <c r="F78" s="11"/>
      <c r="G78" s="11"/>
      <c r="H78" s="11"/>
      <c r="I78" s="67">
        <v>-99.381</v>
      </c>
      <c r="J78" s="70">
        <v>11.467000000000001</v>
      </c>
      <c r="K78" s="70">
        <v>-751.029</v>
      </c>
      <c r="Q78" s="36">
        <v>518.92999999999995</v>
      </c>
      <c r="R78" s="43">
        <v>16.260000000000002</v>
      </c>
      <c r="S78" s="43">
        <v>-82.87</v>
      </c>
    </row>
    <row r="79" spans="1:19" x14ac:dyDescent="0.2">
      <c r="A79" s="26" t="str">
        <f>T(IF(SIGN(ABS(A75))+SIGN(ABS(A78))&lt;&gt;1,"NEED A 1 AND A 0 ABOVE!!",""))</f>
        <v/>
      </c>
      <c r="D79" s="13" t="s">
        <v>581</v>
      </c>
      <c r="I79" s="19" t="s">
        <v>36</v>
      </c>
      <c r="J79" s="19" t="s">
        <v>37</v>
      </c>
      <c r="K79" s="19" t="s">
        <v>38</v>
      </c>
      <c r="L79" s="21" t="s">
        <v>40</v>
      </c>
      <c r="M79" s="21" t="s">
        <v>41</v>
      </c>
      <c r="N79" s="21" t="s">
        <v>42</v>
      </c>
      <c r="O79" s="19" t="s">
        <v>882</v>
      </c>
      <c r="P79" s="19" t="s">
        <v>881</v>
      </c>
      <c r="Q79" s="19" t="s">
        <v>499</v>
      </c>
    </row>
    <row r="80" spans="1:19" x14ac:dyDescent="0.2">
      <c r="G80" s="1"/>
      <c r="H80" s="1" t="s">
        <v>552</v>
      </c>
      <c r="I80" s="1">
        <f>IF(A75&gt;0,L75,I78)</f>
        <v>-99.381</v>
      </c>
      <c r="J80" s="1">
        <f>IF(A75&gt;0,M75,J78)</f>
        <v>11.467000000000001</v>
      </c>
      <c r="K80" s="1">
        <f>IF(A75&gt;0,N75,K78)</f>
        <v>-751.029</v>
      </c>
      <c r="L80">
        <f>2048*(D68-D42)+I80-I59</f>
        <v>-115.697</v>
      </c>
      <c r="M80">
        <f>J80-J59</f>
        <v>10.467000000000001</v>
      </c>
      <c r="N80">
        <f>2048*(H68-H42)+K80-K59</f>
        <v>162.80200000000002</v>
      </c>
      <c r="O80" s="19">
        <f>IF(ABS(M80/E81)&lt;0.99999,ATAN(M80/SQRT(L80*L80+N80*N80)),SIGN(M80/E81)*1000)</f>
        <v>5.2359021476302191E-2</v>
      </c>
      <c r="P80" s="19">
        <f>IF(ABS(M80/E81)&lt;0.99999,180/PI()*ATAN(M80/SQRT(L80*L80+N80*N80)),SIGN(M80/E81)*90)</f>
        <v>2.9999509500269523</v>
      </c>
      <c r="Q80" s="19">
        <f>IF(ABS(L80)&gt;0.00001,IF(L80&gt;0,90-180/PI()*ATAN(N80/L80),-90-180/PI()*ATAN(N80/L80)),-90+SIGN(N80)*90)</f>
        <v>-35.399915992998253</v>
      </c>
    </row>
    <row r="81" spans="1:20" x14ac:dyDescent="0.2">
      <c r="B81" s="33" t="s">
        <v>574</v>
      </c>
      <c r="E81" s="184">
        <f>SQRT(L80*L80+M80*M80+N80*N80)</f>
        <v>199.99961275462513</v>
      </c>
      <c r="F81" s="33" t="s">
        <v>576</v>
      </c>
      <c r="G81" s="1"/>
      <c r="H81" s="1"/>
      <c r="I81" s="1"/>
      <c r="J81" s="1"/>
      <c r="K81" s="1"/>
    </row>
    <row r="82" spans="1:20" x14ac:dyDescent="0.2">
      <c r="B82" s="52" t="s">
        <v>575</v>
      </c>
      <c r="C82" s="2"/>
      <c r="D82" s="2"/>
      <c r="E82" s="74">
        <f>Q80</f>
        <v>-35.399915992998253</v>
      </c>
      <c r="F82" t="s">
        <v>1320</v>
      </c>
      <c r="G82" s="1"/>
      <c r="H82" s="19"/>
      <c r="I82" s="2"/>
      <c r="J82" s="19"/>
      <c r="K82" s="19"/>
    </row>
    <row r="83" spans="1:20" s="45" customFormat="1" x14ac:dyDescent="0.2">
      <c r="B83" s="95" t="s">
        <v>577</v>
      </c>
      <c r="C83" s="66"/>
      <c r="D83" s="66"/>
      <c r="E83" s="96">
        <f>P80</f>
        <v>2.9999509500269523</v>
      </c>
      <c r="F83" s="45" t="s">
        <v>924</v>
      </c>
      <c r="G83" s="97">
        <f>100*O80</f>
        <v>5.2359021476302194</v>
      </c>
      <c r="H83" s="97" t="s">
        <v>1319</v>
      </c>
      <c r="I83" s="51"/>
      <c r="J83" s="51"/>
      <c r="K83" s="51"/>
    </row>
    <row r="84" spans="1:20" s="28" customFormat="1" ht="13.5" thickBot="1" x14ac:dyDescent="0.25">
      <c r="B84" s="93"/>
      <c r="C84" s="29"/>
      <c r="D84" s="29"/>
      <c r="E84" s="29"/>
      <c r="G84" s="94"/>
      <c r="H84" s="94"/>
      <c r="I84" s="30"/>
      <c r="J84" s="30"/>
      <c r="K84" s="30"/>
    </row>
    <row r="85" spans="1:20" s="92" customFormat="1" x14ac:dyDescent="0.2">
      <c r="A85" s="92" t="s">
        <v>1321</v>
      </c>
    </row>
    <row r="86" spans="1:20" s="15" customFormat="1" x14ac:dyDescent="0.2">
      <c r="K86" s="98"/>
      <c r="T86" s="98"/>
    </row>
    <row r="87" spans="1:20" hidden="1" x14ac:dyDescent="0.2">
      <c r="A87" s="19" t="s">
        <v>1324</v>
      </c>
      <c r="B87" s="19"/>
      <c r="C87" s="19" t="s">
        <v>1322</v>
      </c>
      <c r="D87" s="19"/>
      <c r="E87" s="91">
        <v>0</v>
      </c>
      <c r="F87" s="1" t="s">
        <v>1076</v>
      </c>
      <c r="G87" s="1"/>
      <c r="H87" s="1" t="s">
        <v>844</v>
      </c>
      <c r="I87" s="1" t="s">
        <v>845</v>
      </c>
      <c r="J87" s="1" t="s">
        <v>846</v>
      </c>
      <c r="K87" s="1" t="s">
        <v>847</v>
      </c>
      <c r="L87" s="1"/>
      <c r="M87" s="1" t="s">
        <v>163</v>
      </c>
      <c r="N87" s="1" t="s">
        <v>526</v>
      </c>
      <c r="O87" s="1" t="s">
        <v>527</v>
      </c>
    </row>
    <row r="88" spans="1:20" hidden="1" x14ac:dyDescent="0.2">
      <c r="A88" s="19"/>
      <c r="B88" s="19"/>
      <c r="C88" s="19" t="s">
        <v>1323</v>
      </c>
      <c r="D88" s="19"/>
      <c r="E88" s="91">
        <v>0</v>
      </c>
      <c r="F88" s="1" t="s">
        <v>1076</v>
      </c>
      <c r="G88" s="1" t="s">
        <v>856</v>
      </c>
      <c r="H88" s="19">
        <f>M88*N88*O88+M89*N89*O89</f>
        <v>0.95266170413978102</v>
      </c>
      <c r="I88" s="19">
        <f>M89*N88*O88-M88*N89*O89</f>
        <v>0.3040323625298601</v>
      </c>
      <c r="J88" s="19">
        <f>M88*N89*O88+M89*N88*O89</f>
        <v>0</v>
      </c>
      <c r="K88" s="19">
        <f>M88*N88*O89-M89*N89*O88</f>
        <v>0</v>
      </c>
      <c r="L88" s="20" t="s">
        <v>34</v>
      </c>
      <c r="M88" s="1">
        <f>COS(-0.5*E89*PI()/180)</f>
        <v>0.95266170413978102</v>
      </c>
      <c r="N88" s="1">
        <f>COS(0.5*E88*PI()/180)</f>
        <v>1</v>
      </c>
      <c r="O88" s="1">
        <f>COS(0.5*E87*PI()/180)</f>
        <v>1</v>
      </c>
    </row>
    <row r="89" spans="1:20" hidden="1" x14ac:dyDescent="0.2">
      <c r="A89" s="19"/>
      <c r="B89" s="19"/>
      <c r="C89" s="19" t="s">
        <v>694</v>
      </c>
      <c r="D89" s="19"/>
      <c r="E89" s="91">
        <f>E82</f>
        <v>-35.399915992998253</v>
      </c>
      <c r="F89" s="1" t="s">
        <v>1076</v>
      </c>
      <c r="G89" s="1" t="s">
        <v>857</v>
      </c>
      <c r="H89" s="1">
        <f>J88</f>
        <v>0</v>
      </c>
      <c r="I89" s="1">
        <f>I88</f>
        <v>0.3040323625298601</v>
      </c>
      <c r="J89" s="1">
        <f>K88</f>
        <v>0</v>
      </c>
      <c r="K89" s="1">
        <f>H88</f>
        <v>0.95266170413978102</v>
      </c>
      <c r="L89" s="20" t="s">
        <v>35</v>
      </c>
      <c r="M89" s="1">
        <f>SIN(-0.5*E89*PI()/180)</f>
        <v>0.3040323625298601</v>
      </c>
      <c r="N89" s="1">
        <f>SIN(0.5*E88*PI()/180)</f>
        <v>0</v>
      </c>
      <c r="O89" s="1">
        <f>SIN(0.5*E87*PI()/180)</f>
        <v>0</v>
      </c>
    </row>
    <row r="90" spans="1:20" hidden="1" x14ac:dyDescent="0.2">
      <c r="A90" s="26"/>
      <c r="G90" s="1"/>
      <c r="H90" s="19" t="s">
        <v>36</v>
      </c>
      <c r="I90" s="19" t="s">
        <v>37</v>
      </c>
      <c r="J90" s="19" t="s">
        <v>38</v>
      </c>
      <c r="K90" s="19" t="s">
        <v>882</v>
      </c>
      <c r="L90" s="19" t="s">
        <v>881</v>
      </c>
      <c r="M90" s="19" t="s">
        <v>523</v>
      </c>
      <c r="N90" s="19"/>
      <c r="O90" s="19"/>
    </row>
    <row r="91" spans="1:20" hidden="1" x14ac:dyDescent="0.2">
      <c r="G91" s="1" t="s">
        <v>39</v>
      </c>
      <c r="H91" s="19">
        <f>-2*H88*I88+2*J88*K88</f>
        <v>-0.57927997720268043</v>
      </c>
      <c r="I91" s="19">
        <f>2*H88*J88+2*I88*K88</f>
        <v>0</v>
      </c>
      <c r="J91" s="19">
        <f>H88*H88-I88*I88-J88*J88+K88*K88</f>
        <v>0.81512864506902338</v>
      </c>
      <c r="K91" s="19">
        <f>IF(ABS(I91)&lt;0.99999,ATAN(I91/SQRT(H91*H91+J91*J91)),SIGN(I91)*1000)</f>
        <v>0</v>
      </c>
      <c r="L91" s="19">
        <f>IF(ABS(I91)&lt;0.99999,180/PI()*ATAN(I91/SQRT(H91*H91+J91*J91)),SIGN(I91)*90)</f>
        <v>0</v>
      </c>
      <c r="M91" s="19">
        <f>IF(ABS(H91)&gt;0.00001,IF(H91&gt;0,90-180/PI()*ATAN(J91/H91),-90-180/PI()*ATAN(J91/H91)),-90+SIGN(J91)*90)</f>
        <v>-35.399915992998245</v>
      </c>
      <c r="N91" s="19"/>
      <c r="O91" s="19"/>
    </row>
    <row r="92" spans="1:20" x14ac:dyDescent="0.2">
      <c r="A92" s="25" t="s">
        <v>1326</v>
      </c>
      <c r="G92" s="1"/>
      <c r="H92" s="19"/>
      <c r="I92" s="19"/>
      <c r="K92" s="77"/>
      <c r="L92" s="19"/>
      <c r="M92" s="19"/>
      <c r="N92" s="19"/>
      <c r="O92" s="19"/>
      <c r="T92" s="98"/>
    </row>
    <row r="93" spans="1:20" x14ac:dyDescent="0.2">
      <c r="A93" s="56" t="s">
        <v>877</v>
      </c>
      <c r="B93" s="13" t="s">
        <v>878</v>
      </c>
      <c r="C93" s="65" t="str">
        <f>CONCATENATE(TEXT(H89,"0.000000")," ",TEXT(I89,"0.000000")," ",TEXT(J89,"0.000000")," ",TEXT(K89,"0.000000"))</f>
        <v>0.000000 0.304032 0.000000 0.952662</v>
      </c>
      <c r="G93" s="1"/>
      <c r="H93" s="1"/>
      <c r="I93" s="1"/>
      <c r="J93" s="1"/>
      <c r="K93" s="1"/>
      <c r="L93" s="1"/>
      <c r="M93" s="1"/>
      <c r="N93" s="1"/>
      <c r="O93" s="1"/>
    </row>
    <row r="94" spans="1:20" x14ac:dyDescent="0.2">
      <c r="A94" s="13"/>
      <c r="B94" s="13"/>
      <c r="C94" s="13"/>
      <c r="G94" s="1"/>
      <c r="H94" s="1"/>
      <c r="I94" s="1"/>
      <c r="K94" s="77"/>
      <c r="L94" s="1"/>
      <c r="M94" s="1"/>
      <c r="N94" s="1"/>
      <c r="O94" s="1"/>
      <c r="T94" s="98"/>
    </row>
    <row r="95" spans="1:20" hidden="1" x14ac:dyDescent="0.2">
      <c r="A95" s="19" t="s">
        <v>1325</v>
      </c>
      <c r="B95" s="19"/>
      <c r="C95" s="19" t="s">
        <v>1322</v>
      </c>
      <c r="D95" s="19"/>
      <c r="E95" s="91">
        <v>0</v>
      </c>
      <c r="F95" s="1" t="s">
        <v>1076</v>
      </c>
      <c r="G95" s="1"/>
      <c r="H95" s="1" t="s">
        <v>844</v>
      </c>
      <c r="I95" s="1" t="s">
        <v>845</v>
      </c>
      <c r="J95" s="1" t="s">
        <v>846</v>
      </c>
      <c r="K95" s="1" t="s">
        <v>847</v>
      </c>
      <c r="L95" s="1"/>
      <c r="M95" s="1" t="s">
        <v>163</v>
      </c>
      <c r="N95" s="1" t="s">
        <v>526</v>
      </c>
      <c r="O95" s="1" t="s">
        <v>527</v>
      </c>
    </row>
    <row r="96" spans="1:20" hidden="1" x14ac:dyDescent="0.2">
      <c r="A96" s="19"/>
      <c r="B96" s="19"/>
      <c r="C96" s="19" t="s">
        <v>1323</v>
      </c>
      <c r="D96" s="19"/>
      <c r="E96" s="91">
        <f>E83</f>
        <v>2.9999509500269523</v>
      </c>
      <c r="F96" s="1" t="s">
        <v>1076</v>
      </c>
      <c r="G96" s="1" t="s">
        <v>856</v>
      </c>
      <c r="H96" s="19">
        <f>M96*N96*O96+M97*N97*O97</f>
        <v>0.99965733618029284</v>
      </c>
      <c r="I96" s="19">
        <f>M97*N96*O96-M96*N97*O97</f>
        <v>0</v>
      </c>
      <c r="J96" s="19">
        <f>M96*N97*O96+M97*N96*O97</f>
        <v>2.6176520412786126E-2</v>
      </c>
      <c r="K96" s="19">
        <f>M96*N96*O97-M97*N97*O96</f>
        <v>0</v>
      </c>
      <c r="L96" s="20" t="s">
        <v>34</v>
      </c>
      <c r="M96" s="1">
        <f>COS(-0.5*E97*PI()/180)</f>
        <v>1</v>
      </c>
      <c r="N96" s="1">
        <f>COS(0.5*E96*PI()/180)</f>
        <v>0.99965733618029284</v>
      </c>
      <c r="O96" s="1">
        <f>COS(0.5*E95*PI()/180)</f>
        <v>1</v>
      </c>
    </row>
    <row r="97" spans="1:20" hidden="1" x14ac:dyDescent="0.2">
      <c r="A97" s="19"/>
      <c r="B97" s="19"/>
      <c r="C97" s="19" t="s">
        <v>694</v>
      </c>
      <c r="D97" s="19"/>
      <c r="E97" s="91">
        <v>0</v>
      </c>
      <c r="F97" s="1" t="s">
        <v>1076</v>
      </c>
      <c r="G97" s="1" t="s">
        <v>857</v>
      </c>
      <c r="H97" s="1">
        <f>J96</f>
        <v>2.6176520412786126E-2</v>
      </c>
      <c r="I97" s="1">
        <f>I96</f>
        <v>0</v>
      </c>
      <c r="J97" s="1">
        <f>K96</f>
        <v>0</v>
      </c>
      <c r="K97" s="1">
        <f>H96</f>
        <v>0.99965733618029284</v>
      </c>
      <c r="L97" s="20" t="s">
        <v>35</v>
      </c>
      <c r="M97" s="1">
        <f>SIN(-0.5*E97*PI()/180)</f>
        <v>0</v>
      </c>
      <c r="N97" s="1">
        <f>SIN(0.5*E96*PI()/180)</f>
        <v>2.6176520412786126E-2</v>
      </c>
      <c r="O97" s="1">
        <f>SIN(0.5*E95*PI()/180)</f>
        <v>0</v>
      </c>
    </row>
    <row r="98" spans="1:20" hidden="1" x14ac:dyDescent="0.2">
      <c r="A98" s="26"/>
      <c r="G98" s="1"/>
      <c r="H98" s="19" t="s">
        <v>36</v>
      </c>
      <c r="I98" s="19" t="s">
        <v>37</v>
      </c>
      <c r="J98" s="19" t="s">
        <v>38</v>
      </c>
      <c r="K98" s="19" t="s">
        <v>882</v>
      </c>
      <c r="L98" s="19" t="s">
        <v>881</v>
      </c>
      <c r="M98" s="19" t="s">
        <v>523</v>
      </c>
      <c r="N98" s="19"/>
      <c r="O98" s="19"/>
    </row>
    <row r="99" spans="1:20" hidden="1" x14ac:dyDescent="0.2">
      <c r="G99" s="1" t="s">
        <v>39</v>
      </c>
      <c r="H99" s="19">
        <f>-2*H96*I96+2*J96*K96</f>
        <v>0</v>
      </c>
      <c r="I99" s="19">
        <f>2*H96*J96+2*I96*K96</f>
        <v>5.2335101332629676E-2</v>
      </c>
      <c r="J99" s="19">
        <f>H96*H96-I96*I96-J96*J96+K96*K96</f>
        <v>0.99862957955815801</v>
      </c>
      <c r="K99" s="19">
        <f>IF(ABS(I99)&lt;0.99999,ATAN(I99/SQRT(H99*H99+J99*J99)),SIGN(I99)*1000)</f>
        <v>5.2359021476302184E-2</v>
      </c>
      <c r="L99" s="19">
        <f>IF(ABS(I99)&lt;0.99999,180/PI()*ATAN(I99/SQRT(H99*H99+J99*J99)),SIGN(I99)*90)</f>
        <v>2.9999509500269519</v>
      </c>
      <c r="M99" s="19">
        <f>IF(ABS(H99)&gt;0.00001,IF(H99&gt;0,90-180/PI()*ATAN(J99/H99),-90-180/PI()*ATAN(J99/H99)),-90+SIGN(J99)*90)</f>
        <v>0</v>
      </c>
      <c r="N99" s="19"/>
      <c r="O99" s="19"/>
    </row>
    <row r="100" spans="1:20" hidden="1" x14ac:dyDescent="0.2">
      <c r="E100" s="91"/>
      <c r="F100" s="91"/>
      <c r="G100" s="1"/>
      <c r="H100" s="19"/>
      <c r="I100" s="19"/>
      <c r="J100" s="19"/>
      <c r="K100" s="19"/>
      <c r="L100" s="19"/>
      <c r="M100" s="19"/>
      <c r="N100" s="19"/>
      <c r="O100" s="19"/>
    </row>
    <row r="101" spans="1:20" hidden="1" x14ac:dyDescent="0.2">
      <c r="A101" s="19" t="s">
        <v>1325</v>
      </c>
      <c r="B101" s="19"/>
      <c r="C101" s="19" t="s">
        <v>1322</v>
      </c>
      <c r="D101" s="12"/>
      <c r="E101" s="91">
        <v>0</v>
      </c>
      <c r="F101" s="91" t="s">
        <v>1076</v>
      </c>
      <c r="G101" s="1"/>
      <c r="H101" s="1" t="s">
        <v>850</v>
      </c>
      <c r="I101" s="1" t="s">
        <v>851</v>
      </c>
      <c r="J101" s="1" t="s">
        <v>852</v>
      </c>
      <c r="K101" s="1" t="s">
        <v>853</v>
      </c>
      <c r="L101" s="1"/>
      <c r="M101" s="1" t="s">
        <v>163</v>
      </c>
      <c r="N101" s="1" t="s">
        <v>526</v>
      </c>
      <c r="O101" s="1" t="s">
        <v>527</v>
      </c>
    </row>
    <row r="102" spans="1:20" hidden="1" x14ac:dyDescent="0.2">
      <c r="A102" s="19"/>
      <c r="C102" s="19" t="s">
        <v>1323</v>
      </c>
      <c r="D102" s="12"/>
      <c r="E102" s="91">
        <v>0</v>
      </c>
      <c r="F102" s="91" t="s">
        <v>1076</v>
      </c>
      <c r="G102" s="1" t="s">
        <v>855</v>
      </c>
      <c r="H102" s="19">
        <f>M102*N102*O102+M103*N103*O103</f>
        <v>0.95266170413978102</v>
      </c>
      <c r="I102" s="19">
        <f>M103*N102*O102-M102*N103*O103</f>
        <v>0.3040323625298601</v>
      </c>
      <c r="J102" s="19">
        <f>M102*N103*O102+M103*N102*O103</f>
        <v>0</v>
      </c>
      <c r="K102" s="19">
        <f>M102*N102*O103-M103*N103*O102</f>
        <v>0</v>
      </c>
      <c r="L102" s="20" t="s">
        <v>34</v>
      </c>
      <c r="M102" s="1">
        <f>COS(-0.5*E103*PI()/180)</f>
        <v>0.95266170413978102</v>
      </c>
      <c r="N102" s="1">
        <f>COS(0.5*E102*PI()/180)</f>
        <v>1</v>
      </c>
      <c r="O102" s="1">
        <f>COS(0.5*E101*PI()/180)</f>
        <v>1</v>
      </c>
    </row>
    <row r="103" spans="1:20" hidden="1" x14ac:dyDescent="0.2">
      <c r="A103" s="19"/>
      <c r="C103" s="19" t="s">
        <v>694</v>
      </c>
      <c r="D103" s="12"/>
      <c r="E103" s="91">
        <f>E82</f>
        <v>-35.399915992998253</v>
      </c>
      <c r="F103" s="91" t="s">
        <v>1076</v>
      </c>
      <c r="G103" s="1" t="s">
        <v>854</v>
      </c>
      <c r="H103" s="19">
        <f>H102*H96-I102*I96-J102*J96-K102*K96</f>
        <v>0.95233526144135172</v>
      </c>
      <c r="I103" s="19">
        <f>H102*I96+I102*H96+J102*K96-K102*J96</f>
        <v>0.30392818163920104</v>
      </c>
      <c r="J103" s="19">
        <f>H102*J96-I102*K96+J102*H96+K102*I96</f>
        <v>2.4937368544894596E-2</v>
      </c>
      <c r="K103" s="19">
        <f>H102*K96+I102*J96-J102*I96+K102*H96</f>
        <v>7.9585093439104755E-3</v>
      </c>
      <c r="L103" s="20" t="s">
        <v>35</v>
      </c>
      <c r="M103" s="1">
        <f>SIN(-0.5*E103*PI()/180)</f>
        <v>0.3040323625298601</v>
      </c>
      <c r="N103" s="1">
        <f>SIN(0.5*E102*PI()/180)</f>
        <v>0</v>
      </c>
      <c r="O103" s="1">
        <f>SIN(0.5*E101*PI()/180)</f>
        <v>0</v>
      </c>
    </row>
    <row r="104" spans="1:20" hidden="1" x14ac:dyDescent="0.2">
      <c r="A104" s="26" t="str">
        <f>T(IF(SIGN(ABS(E101))+SIGN(ABS(E102))+SIGN(ABS(E103))&gt;1,"NEED TWO ZERO ANGLES ABOVE!!",""))</f>
        <v/>
      </c>
      <c r="E104" s="91"/>
      <c r="F104" s="91"/>
      <c r="G104" s="1" t="s">
        <v>848</v>
      </c>
      <c r="H104" s="1">
        <f>J103</f>
        <v>2.4937368544894596E-2</v>
      </c>
      <c r="I104" s="1">
        <f>I103</f>
        <v>0.30392818163920104</v>
      </c>
      <c r="J104" s="1">
        <f>K103</f>
        <v>7.9585093439104755E-3</v>
      </c>
      <c r="K104" s="1">
        <f>H103</f>
        <v>0.95233526144135172</v>
      </c>
      <c r="L104" s="20"/>
      <c r="M104" s="1"/>
      <c r="N104" s="1"/>
      <c r="O104" s="1"/>
    </row>
    <row r="105" spans="1:20" hidden="1" x14ac:dyDescent="0.2">
      <c r="G105" s="1"/>
      <c r="H105" s="19" t="s">
        <v>36</v>
      </c>
      <c r="I105" s="19" t="s">
        <v>37</v>
      </c>
      <c r="J105" s="19" t="s">
        <v>38</v>
      </c>
      <c r="K105" s="19" t="s">
        <v>882</v>
      </c>
      <c r="L105" s="19" t="s">
        <v>881</v>
      </c>
      <c r="M105" s="19" t="s">
        <v>1075</v>
      </c>
      <c r="N105" s="19"/>
      <c r="O105" s="19"/>
    </row>
    <row r="106" spans="1:20" hidden="1" x14ac:dyDescent="0.2">
      <c r="G106" s="1" t="s">
        <v>39</v>
      </c>
      <c r="H106" s="19">
        <f>-2*H103*I103+2*J103*K103</f>
        <v>-0.57848612008037215</v>
      </c>
      <c r="I106" s="19">
        <f>2*H103*J103+2*I103*K103</f>
        <v>5.2335101332629676E-2</v>
      </c>
      <c r="J106" s="19">
        <f>H103*H103-I103*I103-J103*J103+K103*K103</f>
        <v>0.81401157611108976</v>
      </c>
      <c r="K106" s="19">
        <f>IF(ABS(I106)&lt;0.99999,ATAN(I106/SQRT(H106*H106+J106*J106)),SIGN(I106)*1000)</f>
        <v>5.2359021476302191E-2</v>
      </c>
      <c r="L106" s="19">
        <f>IF(ABS(I106)&lt;0.99999,180/PI()*ATAN(I106/SQRT(H106*H106+J106*J106)),SIGN(I106)*90)</f>
        <v>2.9999509500269523</v>
      </c>
      <c r="M106" s="19">
        <f>IF(ABS(H106)&gt;0.00001,IF(H106&gt;0,90-180/PI()*ATAN(J106/H106),-90-180/PI()*ATAN(J106/H106)),-90+SIGN(J106)*90)</f>
        <v>-35.399915992998253</v>
      </c>
      <c r="N106" s="19"/>
      <c r="O106" s="19"/>
    </row>
    <row r="107" spans="1:20" x14ac:dyDescent="0.2">
      <c r="A107" s="25" t="s">
        <v>1327</v>
      </c>
      <c r="G107" s="1"/>
      <c r="H107" s="19"/>
      <c r="I107" s="19"/>
      <c r="K107" s="77"/>
      <c r="L107" s="19"/>
      <c r="M107" s="19"/>
      <c r="N107" s="19"/>
      <c r="O107" s="19"/>
      <c r="T107" s="98"/>
    </row>
    <row r="108" spans="1:20" x14ac:dyDescent="0.2">
      <c r="A108" s="56" t="s">
        <v>877</v>
      </c>
      <c r="B108" s="13" t="s">
        <v>878</v>
      </c>
      <c r="C108" s="65" t="str">
        <f>CONCATENATE(TEXT(H104,"0.000000")," ",TEXT(I104,"0.000000")," ",TEXT(J104,"0.000000")," ",TEXT(K104,"0.000000"))</f>
        <v>0.024937 0.303928 0.007959 0.952335</v>
      </c>
      <c r="G108" s="1"/>
      <c r="H108" s="1"/>
      <c r="I108" s="1"/>
      <c r="J108" s="1"/>
      <c r="K108" s="1"/>
      <c r="L108" s="1"/>
      <c r="M108" s="1"/>
      <c r="N108" s="1"/>
      <c r="O108" s="1"/>
    </row>
    <row r="109" spans="1:20" x14ac:dyDescent="0.2">
      <c r="G109" s="1"/>
      <c r="H109" s="1"/>
      <c r="I109" s="1"/>
      <c r="J109" s="1"/>
      <c r="K109" s="1"/>
      <c r="L109" s="1"/>
      <c r="M109" s="1"/>
      <c r="N109" s="1"/>
      <c r="O109" s="1"/>
    </row>
    <row r="110" spans="1:20" x14ac:dyDescent="0.2">
      <c r="A110" s="82" t="s">
        <v>1361</v>
      </c>
      <c r="B110" s="10"/>
      <c r="C110" s="10"/>
      <c r="D110" s="10"/>
      <c r="E110" s="10"/>
      <c r="F110" s="10"/>
      <c r="G110" s="86"/>
      <c r="H110" s="1"/>
      <c r="I110" s="1"/>
      <c r="J110" s="1"/>
      <c r="K110" s="1"/>
      <c r="L110" s="1"/>
      <c r="M110" s="1"/>
      <c r="N110" s="1"/>
      <c r="O110" s="1"/>
    </row>
    <row r="111" spans="1:20" x14ac:dyDescent="0.2">
      <c r="G111" s="1"/>
      <c r="H111" s="19"/>
      <c r="I111" s="19"/>
      <c r="J111" s="19"/>
      <c r="K111" s="19"/>
      <c r="L111" s="20"/>
      <c r="M111" s="1"/>
      <c r="N111" s="1"/>
      <c r="O111" s="1"/>
    </row>
    <row r="112" spans="1:20" x14ac:dyDescent="0.2">
      <c r="A112" s="82" t="s">
        <v>97</v>
      </c>
      <c r="B112" s="82"/>
      <c r="C112" s="82"/>
      <c r="D112" s="82"/>
      <c r="E112" s="82"/>
      <c r="F112" s="82"/>
      <c r="G112" s="82"/>
      <c r="H112" s="82"/>
      <c r="I112" s="82"/>
      <c r="J112" s="82"/>
      <c r="K112" s="19"/>
      <c r="L112" s="20"/>
      <c r="M112" s="1"/>
      <c r="N112" s="1"/>
      <c r="O112" s="1"/>
    </row>
    <row r="113" spans="2:15" x14ac:dyDescent="0.2">
      <c r="G113" s="1"/>
      <c r="H113" s="1"/>
      <c r="I113" s="1"/>
      <c r="J113" s="1"/>
      <c r="K113" s="1"/>
      <c r="L113" s="20"/>
      <c r="M113" s="1"/>
      <c r="N113" s="1"/>
      <c r="O113" s="1"/>
    </row>
    <row r="114" spans="2:15" x14ac:dyDescent="0.2">
      <c r="B114" t="s">
        <v>1360</v>
      </c>
      <c r="G114" s="1"/>
      <c r="H114" s="19"/>
      <c r="I114" s="19"/>
      <c r="J114" s="19"/>
      <c r="K114" s="19"/>
      <c r="L114" s="19"/>
      <c r="M114" s="21"/>
      <c r="N114" s="19"/>
      <c r="O114" s="19"/>
    </row>
    <row r="115" spans="2:15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4"/>
  <sheetViews>
    <sheetView workbookViewId="0">
      <selection activeCell="A2" sqref="A2"/>
    </sheetView>
  </sheetViews>
  <sheetFormatPr defaultRowHeight="12.75" x14ac:dyDescent="0.2"/>
  <cols>
    <col min="12" max="19" width="0" hidden="1" customWidth="1"/>
  </cols>
  <sheetData>
    <row r="1" spans="1:3" s="5" customFormat="1" x14ac:dyDescent="0.2">
      <c r="A1" s="14" t="s">
        <v>1128</v>
      </c>
      <c r="B1" s="14"/>
    </row>
    <row r="3" spans="1:3" x14ac:dyDescent="0.2">
      <c r="A3" s="33" t="s">
        <v>1129</v>
      </c>
    </row>
    <row r="4" spans="1:3" x14ac:dyDescent="0.2">
      <c r="A4" s="33"/>
      <c r="C4" t="s">
        <v>485</v>
      </c>
    </row>
    <row r="5" spans="1:3" x14ac:dyDescent="0.2">
      <c r="B5" t="s">
        <v>486</v>
      </c>
    </row>
    <row r="6" spans="1:3" x14ac:dyDescent="0.2">
      <c r="B6" t="s">
        <v>487</v>
      </c>
    </row>
    <row r="8" spans="1:3" x14ac:dyDescent="0.2">
      <c r="A8" t="s">
        <v>1130</v>
      </c>
    </row>
    <row r="9" spans="1:3" x14ac:dyDescent="0.2">
      <c r="B9" t="s">
        <v>491</v>
      </c>
    </row>
    <row r="11" spans="1:3" x14ac:dyDescent="0.2">
      <c r="A11" t="s">
        <v>579</v>
      </c>
    </row>
    <row r="12" spans="1:3" x14ac:dyDescent="0.2">
      <c r="B12" s="3" t="s">
        <v>488</v>
      </c>
    </row>
    <row r="13" spans="1:3" x14ac:dyDescent="0.2">
      <c r="C13" t="s">
        <v>489</v>
      </c>
    </row>
    <row r="14" spans="1:3" x14ac:dyDescent="0.2">
      <c r="B14" s="3" t="s">
        <v>490</v>
      </c>
    </row>
    <row r="15" spans="1:3" x14ac:dyDescent="0.2">
      <c r="B15" s="3"/>
      <c r="C15" t="s">
        <v>580</v>
      </c>
    </row>
    <row r="16" spans="1:3" s="28" customFormat="1" ht="13.5" thickBot="1" x14ac:dyDescent="0.25"/>
    <row r="17" spans="1:24" s="27" customFormat="1" x14ac:dyDescent="0.2">
      <c r="A17" s="8" t="s">
        <v>544</v>
      </c>
      <c r="B17" s="8"/>
      <c r="C17" s="8"/>
      <c r="D17" s="8"/>
      <c r="E17" s="8"/>
      <c r="F17" s="8"/>
    </row>
    <row r="18" spans="1:24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"/>
      <c r="K18" s="2"/>
    </row>
    <row r="19" spans="1:24" x14ac:dyDescent="0.2">
      <c r="A19" s="82" t="s">
        <v>1045</v>
      </c>
      <c r="B19" s="82"/>
      <c r="C19" s="82"/>
      <c r="D19" s="82"/>
      <c r="E19" s="82"/>
      <c r="F19" s="82"/>
      <c r="G19" s="82"/>
      <c r="H19" s="82"/>
      <c r="I19" s="82"/>
    </row>
    <row r="21" spans="1:24" x14ac:dyDescent="0.2">
      <c r="B21" t="s">
        <v>519</v>
      </c>
    </row>
    <row r="22" spans="1:24" x14ac:dyDescent="0.2">
      <c r="B22" t="s">
        <v>1131</v>
      </c>
    </row>
    <row r="23" spans="1:24" x14ac:dyDescent="0.2">
      <c r="A23" s="41"/>
      <c r="B23" s="21"/>
      <c r="C23" s="21"/>
      <c r="D23" s="21"/>
      <c r="E23" s="21"/>
      <c r="F23" s="21"/>
      <c r="G23" s="21"/>
      <c r="H23" s="21"/>
      <c r="I23" s="21"/>
      <c r="J23" s="2"/>
      <c r="K23" s="2"/>
    </row>
    <row r="24" spans="1:24" x14ac:dyDescent="0.2">
      <c r="A24" s="82" t="s">
        <v>378</v>
      </c>
      <c r="B24" s="82"/>
    </row>
    <row r="25" spans="1:24" x14ac:dyDescent="0.2">
      <c r="A25" s="21"/>
      <c r="B25" s="16"/>
      <c r="C25" s="21"/>
      <c r="D25" s="21"/>
      <c r="E25" s="21"/>
      <c r="F25" s="21"/>
      <c r="G25" s="21"/>
      <c r="H25" s="21"/>
      <c r="I25" s="21"/>
      <c r="J25" s="2"/>
      <c r="K25" s="2"/>
    </row>
    <row r="26" spans="1:24" x14ac:dyDescent="0.2">
      <c r="A26" s="82" t="s">
        <v>379</v>
      </c>
      <c r="B26" s="11"/>
      <c r="C26" s="11"/>
      <c r="D26" s="11"/>
      <c r="E26" s="11"/>
      <c r="F26" s="11"/>
      <c r="G26" s="11"/>
      <c r="H26" s="11"/>
    </row>
    <row r="27" spans="1:24" x14ac:dyDescent="0.2">
      <c r="A27" s="21"/>
      <c r="G27" t="s">
        <v>698</v>
      </c>
    </row>
    <row r="28" spans="1:24" x14ac:dyDescent="0.2">
      <c r="A28" s="21"/>
      <c r="B28" s="82" t="s">
        <v>702</v>
      </c>
      <c r="C28" s="11"/>
      <c r="D28" s="11"/>
      <c r="E28" s="11"/>
      <c r="F28" s="11"/>
      <c r="G28" s="11"/>
      <c r="H28" s="11"/>
      <c r="I28" s="67" t="s">
        <v>1121</v>
      </c>
      <c r="L28" s="19">
        <f>VALUE(MID(I28,1,L29-1))</f>
        <v>-7.3348999999999998E-2</v>
      </c>
      <c r="M28" s="19">
        <f>VALUE(MID(I28,L29+1,M29-L29-1))</f>
        <v>1</v>
      </c>
      <c r="N28" s="19">
        <f>VALUE(MID(I28,M29+1,N29-M29))</f>
        <v>84.315899999999999</v>
      </c>
      <c r="O28" s="76" t="s">
        <v>291</v>
      </c>
    </row>
    <row r="29" spans="1:24" x14ac:dyDescent="0.2">
      <c r="A29" s="40"/>
      <c r="I29" s="2"/>
      <c r="L29" s="1">
        <f>SEARCH(" ",I28,1)</f>
        <v>10</v>
      </c>
      <c r="M29" s="1">
        <f>SEARCH(" ",I28,L29+1)</f>
        <v>12</v>
      </c>
      <c r="N29" s="1">
        <f>LEN(I28)</f>
        <v>19</v>
      </c>
      <c r="O29" s="19" t="s">
        <v>937</v>
      </c>
      <c r="P29" s="19" t="s">
        <v>938</v>
      </c>
      <c r="Q29" s="19" t="s">
        <v>939</v>
      </c>
      <c r="R29" s="19" t="s">
        <v>940</v>
      </c>
    </row>
    <row r="30" spans="1:24" x14ac:dyDescent="0.2">
      <c r="A30" s="21"/>
      <c r="B30" s="82" t="s">
        <v>342</v>
      </c>
      <c r="C30" s="11"/>
      <c r="D30" s="11"/>
      <c r="E30" s="11"/>
      <c r="F30" s="11"/>
      <c r="G30" s="11"/>
      <c r="H30" s="11"/>
      <c r="I30" s="67" t="s">
        <v>1118</v>
      </c>
      <c r="N30" s="1" t="s">
        <v>936</v>
      </c>
      <c r="O30" s="19">
        <f>VALUE(MID(I30,1,O31-1))</f>
        <v>0</v>
      </c>
      <c r="P30" s="19">
        <f>VALUE(MID(I30,O31+1,P31-O31-1))</f>
        <v>-0.27773399999999998</v>
      </c>
      <c r="Q30" s="19">
        <f>VALUE(MID(I30,P31+1,Q31-P31-1))</f>
        <v>0</v>
      </c>
      <c r="R30" s="19">
        <f>VALUE(MID(I30,Q31+1,R31-Q31))</f>
        <v>0.96065800000000001</v>
      </c>
    </row>
    <row r="31" spans="1:24" x14ac:dyDescent="0.2">
      <c r="A31" s="21"/>
      <c r="B31" t="s">
        <v>175</v>
      </c>
      <c r="I31" s="2"/>
      <c r="K31" s="77"/>
      <c r="O31" s="1">
        <f>SEARCH(" ",I30,1)</f>
        <v>2</v>
      </c>
      <c r="P31" s="1">
        <f>SEARCH(" ",I30,O31+1)</f>
        <v>12</v>
      </c>
      <c r="Q31" s="1">
        <f>SEARCH(" ",I30,P31+1)</f>
        <v>14</v>
      </c>
      <c r="R31" s="1">
        <f>LEN(I30)</f>
        <v>22</v>
      </c>
      <c r="T31" s="77"/>
    </row>
    <row r="32" spans="1:24" hidden="1" x14ac:dyDescent="0.2">
      <c r="A32" s="21"/>
      <c r="I32" s="2"/>
      <c r="N32" s="1" t="s">
        <v>941</v>
      </c>
      <c r="O32" s="1" t="s">
        <v>940</v>
      </c>
      <c r="P32" s="1" t="s">
        <v>938</v>
      </c>
      <c r="Q32" s="1" t="s">
        <v>937</v>
      </c>
      <c r="R32" s="1" t="s">
        <v>939</v>
      </c>
      <c r="S32" s="19" t="s">
        <v>36</v>
      </c>
      <c r="T32" s="19" t="s">
        <v>37</v>
      </c>
      <c r="U32" s="19" t="s">
        <v>38</v>
      </c>
      <c r="V32" s="37" t="s">
        <v>882</v>
      </c>
      <c r="W32" s="4" t="s">
        <v>881</v>
      </c>
      <c r="X32" s="4" t="s">
        <v>499</v>
      </c>
    </row>
    <row r="33" spans="1:24" hidden="1" x14ac:dyDescent="0.2">
      <c r="A33" s="21"/>
      <c r="I33" s="2"/>
      <c r="O33" s="19">
        <f>R30</f>
        <v>0.96065800000000001</v>
      </c>
      <c r="P33" s="19">
        <f>P30</f>
        <v>-0.27773399999999998</v>
      </c>
      <c r="Q33" s="19">
        <f>O30</f>
        <v>0</v>
      </c>
      <c r="R33" s="19">
        <f>Q30</f>
        <v>0</v>
      </c>
      <c r="S33" s="21">
        <f>-2*O33*P33+2*Q33*R33</f>
        <v>0.53361477794399992</v>
      </c>
      <c r="T33" s="21">
        <f>2*O33*Q33+2*P33*R33</f>
        <v>0</v>
      </c>
      <c r="U33" s="21">
        <f>O33*O33-P33*P33-Q33*Q33+R33*R33</f>
        <v>0.84572761820800002</v>
      </c>
      <c r="V33" s="37">
        <f>IF(ABS(T33)&lt;0.99999,ATAN(T33/SQRT(S33*S33+U33*U33)),SIGN(T33)*1000)</f>
        <v>0</v>
      </c>
      <c r="W33" s="4">
        <f>IF(ABS(T33)&lt;0.99999,180/PI()*ATAN(T33/SQRT(S33*S33+U33*U33)),SIGN(T33)*90)</f>
        <v>0</v>
      </c>
      <c r="X33" s="4">
        <f>IF(ABS(S33)&gt;0.00001,IF(S33&gt;0,90-180/PI()*ATAN(U33/S33),-90-180/PI()*ATAN(U33/S33)),-90+SIGN(U33)*90)</f>
        <v>32.250018918671856</v>
      </c>
    </row>
    <row r="34" spans="1:24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"/>
      <c r="K34" s="77"/>
      <c r="T34" s="77"/>
    </row>
    <row r="35" spans="1:24" x14ac:dyDescent="0.2">
      <c r="A35" s="82" t="s">
        <v>380</v>
      </c>
      <c r="B35" s="11"/>
      <c r="C35" s="11"/>
      <c r="D35" s="11"/>
      <c r="E35" s="11"/>
      <c r="F35" s="11"/>
      <c r="I35" s="21"/>
      <c r="J35" s="2"/>
      <c r="K35" s="2"/>
    </row>
    <row r="36" spans="1:24" x14ac:dyDescent="0.2">
      <c r="I36" s="21"/>
      <c r="J36" s="2"/>
      <c r="K36" s="2"/>
      <c r="Q36" s="43">
        <v>-5764</v>
      </c>
      <c r="R36" s="43">
        <v>14672</v>
      </c>
    </row>
    <row r="37" spans="1:24" x14ac:dyDescent="0.2">
      <c r="B37" t="s">
        <v>350</v>
      </c>
      <c r="I37" s="21"/>
      <c r="J37" s="2"/>
      <c r="K37" s="2"/>
      <c r="Q37" s="43"/>
      <c r="R37" s="43"/>
    </row>
    <row r="38" spans="1:24" x14ac:dyDescent="0.2">
      <c r="B38" s="82" t="s">
        <v>557</v>
      </c>
      <c r="C38" s="11"/>
      <c r="D38" s="70">
        <v>-12913</v>
      </c>
      <c r="F38" s="82" t="s">
        <v>556</v>
      </c>
      <c r="G38" s="11"/>
      <c r="H38" s="70">
        <v>14194</v>
      </c>
      <c r="I38" s="49" t="s">
        <v>565</v>
      </c>
      <c r="J38" s="90"/>
      <c r="K38" s="2"/>
      <c r="Q38" s="43">
        <v>-6082</v>
      </c>
      <c r="R38" s="43">
        <v>14931</v>
      </c>
    </row>
    <row r="39" spans="1:24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"/>
      <c r="K39" s="2"/>
    </row>
    <row r="40" spans="1:24" x14ac:dyDescent="0.2">
      <c r="A40" s="82" t="s">
        <v>382</v>
      </c>
      <c r="B40" s="11"/>
      <c r="C40" s="11"/>
      <c r="D40" s="11"/>
      <c r="E40" s="11"/>
    </row>
    <row r="42" spans="1:24" x14ac:dyDescent="0.2">
      <c r="B42" s="82" t="s">
        <v>305</v>
      </c>
      <c r="C42" s="11"/>
      <c r="D42" s="11"/>
      <c r="E42" s="10"/>
      <c r="F42" s="70">
        <v>50</v>
      </c>
      <c r="G42" t="s">
        <v>576</v>
      </c>
      <c r="H42" s="13"/>
      <c r="I42" s="41"/>
    </row>
    <row r="43" spans="1:24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"/>
      <c r="K43" s="2"/>
    </row>
    <row r="44" spans="1:24" x14ac:dyDescent="0.2">
      <c r="A44" s="82" t="s">
        <v>383</v>
      </c>
      <c r="B44" s="11"/>
      <c r="C44" s="11"/>
      <c r="D44" s="11"/>
      <c r="E44" s="11"/>
      <c r="F44" s="11"/>
      <c r="G44" s="11"/>
    </row>
    <row r="46" spans="1:24" x14ac:dyDescent="0.2">
      <c r="B46" t="s">
        <v>381</v>
      </c>
    </row>
    <row r="48" spans="1:24" x14ac:dyDescent="0.2">
      <c r="A48" s="82" t="s">
        <v>384</v>
      </c>
      <c r="B48" s="11"/>
      <c r="C48" s="11"/>
      <c r="D48" s="11"/>
      <c r="E48" s="11"/>
      <c r="I48" s="21"/>
      <c r="J48" s="2"/>
      <c r="K48" s="2"/>
    </row>
    <row r="49" spans="1:20" x14ac:dyDescent="0.2">
      <c r="I49" s="21"/>
      <c r="J49" s="2"/>
      <c r="K49" s="2"/>
      <c r="Q49" s="43">
        <v>-5762</v>
      </c>
      <c r="R49" s="43">
        <v>14671</v>
      </c>
    </row>
    <row r="50" spans="1:20" x14ac:dyDescent="0.2">
      <c r="B50" t="s">
        <v>350</v>
      </c>
      <c r="I50" s="21"/>
      <c r="J50" s="2"/>
      <c r="K50" s="2"/>
      <c r="Q50" s="43"/>
      <c r="R50" s="43"/>
    </row>
    <row r="51" spans="1:20" x14ac:dyDescent="0.2">
      <c r="B51" s="82" t="s">
        <v>557</v>
      </c>
      <c r="C51" s="11"/>
      <c r="D51" s="70">
        <v>-12913</v>
      </c>
      <c r="F51" s="82" t="s">
        <v>556</v>
      </c>
      <c r="G51" s="11"/>
      <c r="H51" s="70">
        <v>14194</v>
      </c>
      <c r="I51" s="49" t="s">
        <v>566</v>
      </c>
      <c r="J51" s="2"/>
      <c r="K51" s="2"/>
      <c r="Q51" s="43">
        <v>-6085</v>
      </c>
      <c r="R51" s="43">
        <v>14928</v>
      </c>
    </row>
    <row r="52" spans="1:20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"/>
      <c r="K52" s="2"/>
    </row>
    <row r="53" spans="1:20" x14ac:dyDescent="0.2">
      <c r="A53" s="82" t="s">
        <v>385</v>
      </c>
      <c r="B53" s="11"/>
      <c r="C53" s="11"/>
      <c r="D53" s="11"/>
      <c r="E53" s="11"/>
      <c r="F53" s="11"/>
      <c r="G53" s="11"/>
    </row>
    <row r="55" spans="1:20" x14ac:dyDescent="0.2">
      <c r="B55" t="s">
        <v>589</v>
      </c>
    </row>
    <row r="56" spans="1:20" x14ac:dyDescent="0.2">
      <c r="B56" t="s">
        <v>1132</v>
      </c>
    </row>
    <row r="57" spans="1:20" x14ac:dyDescent="0.2">
      <c r="B57" t="s">
        <v>520</v>
      </c>
      <c r="I57" s="49" t="s">
        <v>566</v>
      </c>
      <c r="Q57" s="36" t="s">
        <v>564</v>
      </c>
    </row>
    <row r="58" spans="1:20" x14ac:dyDescent="0.2">
      <c r="A58" s="70">
        <v>0</v>
      </c>
      <c r="B58" s="11" t="s">
        <v>58</v>
      </c>
      <c r="C58" s="11"/>
      <c r="D58" s="11"/>
      <c r="E58" s="11"/>
      <c r="F58" s="11"/>
      <c r="G58" s="11"/>
      <c r="H58" s="11"/>
      <c r="I58" s="67" t="s">
        <v>564</v>
      </c>
      <c r="L58" s="19">
        <f>VALUE(MID(I58,1,L59-1))</f>
        <v>563.92399999999998</v>
      </c>
      <c r="M58" s="19">
        <f>VALUE(MID(I58,L59+1,M59-L59-1))</f>
        <v>1815.04</v>
      </c>
      <c r="N58" s="19">
        <f>VALUE(MID(I58,M59+1,N59-M59))</f>
        <v>-810.30799999999999</v>
      </c>
      <c r="Q58" s="36" t="s">
        <v>573</v>
      </c>
    </row>
    <row r="59" spans="1:20" x14ac:dyDescent="0.2">
      <c r="A59" s="42"/>
      <c r="C59" t="s">
        <v>546</v>
      </c>
      <c r="I59" s="2"/>
      <c r="L59" s="1">
        <f>SEARCH(" ",I58,1)</f>
        <v>8</v>
      </c>
      <c r="M59" s="1">
        <f>SEARCH(" ",I58,L59+1)</f>
        <v>16</v>
      </c>
      <c r="N59" s="1">
        <f>LEN(I58)</f>
        <v>24</v>
      </c>
    </row>
    <row r="60" spans="1:20" x14ac:dyDescent="0.2">
      <c r="A60" s="42"/>
      <c r="C60" t="s">
        <v>11</v>
      </c>
      <c r="I60" s="49" t="s">
        <v>566</v>
      </c>
      <c r="Q60" s="36">
        <v>609.22900000000004</v>
      </c>
      <c r="R60" s="43">
        <v>1815.16</v>
      </c>
      <c r="S60" s="43">
        <v>-836.59100000000001</v>
      </c>
    </row>
    <row r="61" spans="1:20" x14ac:dyDescent="0.2">
      <c r="A61" s="70">
        <v>1</v>
      </c>
      <c r="B61" s="11" t="s">
        <v>59</v>
      </c>
      <c r="C61" s="11"/>
      <c r="D61" s="11"/>
      <c r="E61" s="11"/>
      <c r="F61" s="11"/>
      <c r="G61" s="11"/>
      <c r="H61" s="11"/>
      <c r="I61" s="70">
        <v>-20</v>
      </c>
      <c r="J61" s="70">
        <v>10</v>
      </c>
      <c r="K61" s="70">
        <v>40</v>
      </c>
      <c r="Q61" s="36">
        <v>518.92999999999995</v>
      </c>
      <c r="R61" s="43">
        <v>16.260000000000002</v>
      </c>
      <c r="S61" s="43">
        <v>-82.87</v>
      </c>
    </row>
    <row r="62" spans="1:20" x14ac:dyDescent="0.2">
      <c r="A62" s="26"/>
      <c r="B62" s="26"/>
      <c r="C62" s="16" t="s">
        <v>593</v>
      </c>
      <c r="D62" s="21"/>
      <c r="E62" s="26"/>
      <c r="F62" s="26"/>
      <c r="G62" s="26"/>
      <c r="H62" s="26"/>
      <c r="I62" s="26"/>
      <c r="J62" s="26"/>
      <c r="K62" s="26"/>
      <c r="Q62" s="36"/>
      <c r="R62" s="43"/>
      <c r="S62" s="43"/>
    </row>
    <row r="63" spans="1:20" x14ac:dyDescent="0.2">
      <c r="A63" s="26"/>
      <c r="B63" s="26"/>
      <c r="C63" s="21"/>
      <c r="D63" s="21" t="s">
        <v>594</v>
      </c>
      <c r="E63" s="26"/>
      <c r="F63" s="26"/>
      <c r="G63" s="26"/>
      <c r="H63" s="26"/>
      <c r="I63" s="26"/>
      <c r="J63" s="26"/>
      <c r="K63" s="26"/>
      <c r="Q63" s="36"/>
      <c r="R63" s="43"/>
      <c r="S63" s="43"/>
    </row>
    <row r="64" spans="1:20" x14ac:dyDescent="0.2">
      <c r="A64" s="26"/>
      <c r="B64" s="26"/>
      <c r="C64" s="21"/>
      <c r="D64" s="21" t="s">
        <v>592</v>
      </c>
      <c r="E64" s="26"/>
      <c r="F64" s="26"/>
      <c r="G64" s="26"/>
      <c r="H64" s="26"/>
      <c r="I64" s="26"/>
      <c r="J64" s="26"/>
      <c r="K64" s="77"/>
      <c r="Q64" s="36"/>
      <c r="R64" s="43"/>
      <c r="S64" s="43"/>
      <c r="T64" s="77"/>
    </row>
    <row r="65" spans="1:20" hidden="1" x14ac:dyDescent="0.2">
      <c r="A65" s="26"/>
      <c r="B65" s="26"/>
      <c r="C65" s="21"/>
      <c r="D65" s="19" t="s">
        <v>36</v>
      </c>
      <c r="E65" s="19" t="s">
        <v>37</v>
      </c>
      <c r="F65" s="19" t="s">
        <v>38</v>
      </c>
      <c r="G65" s="26"/>
      <c r="H65" s="26"/>
      <c r="I65" s="26"/>
      <c r="J65" s="26"/>
      <c r="K65" s="26"/>
      <c r="Q65" s="36"/>
      <c r="R65" s="43"/>
      <c r="S65" s="43"/>
    </row>
    <row r="66" spans="1:20" hidden="1" x14ac:dyDescent="0.2">
      <c r="A66" s="26"/>
      <c r="B66" s="1" t="s">
        <v>389</v>
      </c>
      <c r="C66" s="21"/>
      <c r="D66" s="1">
        <f>L28</f>
        <v>-7.3348999999999998E-2</v>
      </c>
      <c r="E66" s="1">
        <f>M28</f>
        <v>1</v>
      </c>
      <c r="F66" s="1">
        <f>N28</f>
        <v>84.315899999999999</v>
      </c>
      <c r="G66" s="26"/>
      <c r="I66" s="19" t="s">
        <v>36</v>
      </c>
      <c r="J66" s="19" t="s">
        <v>37</v>
      </c>
      <c r="K66" s="19" t="s">
        <v>38</v>
      </c>
      <c r="L66" s="21"/>
      <c r="M66" s="21"/>
      <c r="N66" s="21"/>
      <c r="O66" s="19"/>
      <c r="P66" s="19"/>
      <c r="Q66" s="36"/>
      <c r="R66" s="43"/>
      <c r="S66" s="43"/>
    </row>
    <row r="67" spans="1:20" hidden="1" x14ac:dyDescent="0.2">
      <c r="A67" s="26"/>
      <c r="B67" s="1" t="s">
        <v>1243</v>
      </c>
      <c r="C67" s="1"/>
      <c r="D67" s="1">
        <f>O30*O30-P30*P30-Q30*Q30+R30*R30</f>
        <v>0.84572761820800002</v>
      </c>
      <c r="E67" s="1">
        <f>2*O30*P30-2*Q30*R30</f>
        <v>0</v>
      </c>
      <c r="F67" s="1">
        <f>2*O30*Q30+2*P30*R30</f>
        <v>-0.53361477794399992</v>
      </c>
      <c r="G67" s="26"/>
      <c r="H67" s="1" t="s">
        <v>390</v>
      </c>
      <c r="I67" s="1">
        <f>IF(A58&gt;0,L58,I61)</f>
        <v>-20</v>
      </c>
      <c r="J67" s="1">
        <f>IF(A58&gt;0,M58,J61)</f>
        <v>10</v>
      </c>
      <c r="K67" s="1">
        <f>IF(A58&gt;0,N58,K61)</f>
        <v>40</v>
      </c>
      <c r="O67" s="19"/>
      <c r="P67" s="19"/>
      <c r="Q67" s="36"/>
      <c r="R67" s="43"/>
      <c r="S67" s="43"/>
    </row>
    <row r="68" spans="1:20" hidden="1" x14ac:dyDescent="0.2">
      <c r="A68" s="26"/>
      <c r="B68" s="1" t="s">
        <v>1244</v>
      </c>
      <c r="C68" s="1"/>
      <c r="D68" s="1">
        <f>2*O30*Q30-2*P30*R30</f>
        <v>0.53361477794399992</v>
      </c>
      <c r="E68" s="1">
        <f>2*O30*R30+2*P30*Q30</f>
        <v>0</v>
      </c>
      <c r="F68" s="1">
        <f>-O30*O30-P30*P30+Q30*Q30+R30*R30</f>
        <v>0.84572761820800002</v>
      </c>
      <c r="G68" s="26"/>
      <c r="H68" s="1"/>
      <c r="I68" s="1"/>
      <c r="J68" s="1"/>
      <c r="K68" s="1"/>
      <c r="O68" s="19"/>
      <c r="P68" s="19"/>
      <c r="Q68" s="36"/>
      <c r="R68" s="43"/>
      <c r="S68" s="43"/>
    </row>
    <row r="69" spans="1:20" hidden="1" x14ac:dyDescent="0.2">
      <c r="A69" s="26"/>
      <c r="B69" s="1" t="s">
        <v>796</v>
      </c>
      <c r="C69" s="1"/>
      <c r="D69" s="1">
        <f>2048*(D51-D38)+I67-D66</f>
        <v>-19.926651</v>
      </c>
      <c r="E69" s="1">
        <f>J67-E66</f>
        <v>9</v>
      </c>
      <c r="F69" s="1">
        <f>2048*(H51-H38)+K67-F66</f>
        <v>-44.315899999999999</v>
      </c>
      <c r="G69" s="26"/>
      <c r="H69" s="1" t="s">
        <v>391</v>
      </c>
      <c r="I69" s="1">
        <f>SQRT(D69*D69+E69*E69+F69*F69)</f>
        <v>49.416297037372203</v>
      </c>
      <c r="Q69" s="36"/>
      <c r="R69" s="43"/>
      <c r="S69" s="43"/>
    </row>
    <row r="70" spans="1:20" hidden="1" x14ac:dyDescent="0.2">
      <c r="A70" s="26"/>
      <c r="B70" s="41" t="s">
        <v>386</v>
      </c>
      <c r="C70" s="41">
        <f>D67*D69+E67*E69+F67*F69</f>
        <v>6.7951000487964421</v>
      </c>
      <c r="D70" s="41" t="s">
        <v>387</v>
      </c>
      <c r="E70" s="1"/>
      <c r="F70" s="1"/>
      <c r="G70" s="26"/>
      <c r="H70" s="26"/>
      <c r="I70" s="26"/>
      <c r="J70" s="26"/>
      <c r="K70" s="26"/>
      <c r="Q70" s="36"/>
      <c r="R70" s="43"/>
      <c r="S70" s="43"/>
    </row>
    <row r="71" spans="1:20" hidden="1" x14ac:dyDescent="0.2">
      <c r="A71" s="26"/>
      <c r="B71" s="1"/>
      <c r="C71" s="1"/>
      <c r="D71" s="1"/>
      <c r="E71" s="1"/>
      <c r="F71" s="1"/>
      <c r="G71" s="26"/>
      <c r="H71" s="26"/>
      <c r="I71" s="26"/>
      <c r="J71" s="26"/>
      <c r="K71" s="26"/>
      <c r="Q71" s="36"/>
      <c r="R71" s="43"/>
      <c r="S71" s="43"/>
    </row>
    <row r="72" spans="1:20" hidden="1" x14ac:dyDescent="0.2">
      <c r="A72" s="26"/>
      <c r="B72" s="1"/>
      <c r="C72" s="1"/>
      <c r="D72" s="1"/>
      <c r="E72" s="1"/>
      <c r="F72" s="1"/>
      <c r="G72" s="26"/>
      <c r="H72" s="26"/>
      <c r="I72" s="26"/>
      <c r="J72" s="26"/>
      <c r="K72" s="26"/>
      <c r="Q72" s="36"/>
      <c r="R72" s="43"/>
      <c r="S72" s="43"/>
    </row>
    <row r="73" spans="1:20" hidden="1" x14ac:dyDescent="0.2">
      <c r="A73" s="1" t="s">
        <v>393</v>
      </c>
      <c r="B73" s="1" t="s">
        <v>394</v>
      </c>
      <c r="C73" s="21"/>
      <c r="D73" s="1">
        <f>IF(C70&gt;0,L28+F42*D67,L28-F42*D67)</f>
        <v>42.213031910399998</v>
      </c>
      <c r="E73" s="1">
        <f>M28</f>
        <v>1</v>
      </c>
      <c r="F73" s="1">
        <f>IF(C70&gt;0,N28+F42*F67,N28-F42*F67)</f>
        <v>57.635161102800005</v>
      </c>
      <c r="G73" s="26"/>
      <c r="H73" s="1" t="s">
        <v>1083</v>
      </c>
      <c r="I73" s="1">
        <f>X33</f>
        <v>32.250018918671856</v>
      </c>
      <c r="J73" s="1" t="s">
        <v>1119</v>
      </c>
      <c r="K73" s="1">
        <f>I73/180*PI()</f>
        <v>0.56286901396128519</v>
      </c>
      <c r="L73" s="1" t="s">
        <v>61</v>
      </c>
      <c r="Q73" s="36"/>
      <c r="R73" s="43"/>
      <c r="S73" s="43"/>
    </row>
    <row r="74" spans="1:20" hidden="1" x14ac:dyDescent="0.2">
      <c r="A74" s="26"/>
      <c r="B74" s="1" t="s">
        <v>388</v>
      </c>
      <c r="C74" s="21"/>
      <c r="D74" s="1">
        <f>2048*(D51-D38)+I67-D73</f>
        <v>-62.213031910399998</v>
      </c>
      <c r="E74" s="1">
        <f>J67-E73</f>
        <v>9</v>
      </c>
      <c r="F74" s="1">
        <f>2048*(H51-H38)+K67-F73</f>
        <v>-17.635161102800005</v>
      </c>
      <c r="G74" s="26"/>
      <c r="H74" s="1" t="s">
        <v>1080</v>
      </c>
      <c r="I74" s="1">
        <f>D74*D74+E74*E74+F74*F74-F42*F42</f>
        <v>1762.4602466061588</v>
      </c>
      <c r="J74" s="1"/>
      <c r="Q74" s="36"/>
      <c r="R74" s="43"/>
      <c r="S74" s="43"/>
    </row>
    <row r="75" spans="1:20" x14ac:dyDescent="0.2">
      <c r="A75" s="26"/>
      <c r="B75" s="1"/>
      <c r="C75" s="21"/>
      <c r="D75" s="1"/>
      <c r="E75" s="1"/>
      <c r="F75" s="1"/>
      <c r="G75" s="26"/>
      <c r="H75" s="1"/>
      <c r="I75" s="1"/>
      <c r="J75" s="20"/>
      <c r="K75" s="77"/>
      <c r="L75" s="1"/>
      <c r="Q75" s="36"/>
      <c r="R75" s="43"/>
      <c r="S75" s="43"/>
      <c r="T75" s="77"/>
    </row>
    <row r="76" spans="1:20" x14ac:dyDescent="0.2">
      <c r="B76" s="33" t="s">
        <v>1081</v>
      </c>
    </row>
    <row r="77" spans="1:20" x14ac:dyDescent="0.2">
      <c r="B77" s="41" t="s">
        <v>1082</v>
      </c>
      <c r="F77" s="13" t="str">
        <f>T(IF(I74&lt;0,"RADIUS IS TOO LARGE! USE SMALLER TURN RADIUS","ok"))</f>
        <v>ok</v>
      </c>
    </row>
    <row r="78" spans="1:20" x14ac:dyDescent="0.2">
      <c r="A78" s="26"/>
      <c r="B78" s="1"/>
      <c r="C78" s="21"/>
      <c r="D78" s="1"/>
      <c r="E78" s="1"/>
      <c r="F78" s="1"/>
      <c r="G78" s="26"/>
      <c r="H78" s="1"/>
      <c r="I78" s="1"/>
      <c r="J78" s="20"/>
      <c r="K78" s="77"/>
      <c r="L78" s="1"/>
      <c r="Q78" s="36"/>
      <c r="R78" s="43"/>
      <c r="S78" s="43"/>
      <c r="T78" s="77"/>
    </row>
    <row r="79" spans="1:20" hidden="1" x14ac:dyDescent="0.2">
      <c r="A79" s="26"/>
      <c r="B79" s="1"/>
      <c r="C79" s="21"/>
      <c r="D79" s="1"/>
      <c r="E79" s="1"/>
      <c r="F79" s="1"/>
      <c r="G79" s="26"/>
      <c r="H79" s="1" t="s">
        <v>392</v>
      </c>
      <c r="I79" s="1">
        <f>SQRT(D74*D74+E74*E74+F74*F74)</f>
        <v>65.287519838068278</v>
      </c>
      <c r="J79" s="20" t="s">
        <v>1123</v>
      </c>
      <c r="K79" s="1">
        <f>SQRT(I74)</f>
        <v>41.98166560066619</v>
      </c>
      <c r="L79" s="1"/>
      <c r="Q79" s="36"/>
      <c r="R79" s="43"/>
      <c r="S79" s="43"/>
    </row>
    <row r="80" spans="1:20" hidden="1" x14ac:dyDescent="0.2">
      <c r="A80" s="1"/>
      <c r="B80" s="1"/>
      <c r="C80" s="1"/>
      <c r="D80" s="1"/>
      <c r="E80" s="1"/>
      <c r="F80" s="1"/>
      <c r="G80" s="1"/>
      <c r="H80" s="1" t="s">
        <v>1084</v>
      </c>
      <c r="I80" s="1">
        <f>IF(ABS(D74)&gt;0.00001,IF(D74&gt;0,90-180/PI()*ATAN(F74/D74),-90-180/PI()*ATAN(F74/D74)),-90+SIGN(N47)*90)</f>
        <v>-105.82612931633437</v>
      </c>
      <c r="J80" s="1" t="s">
        <v>1076</v>
      </c>
      <c r="K80" s="1"/>
      <c r="Q80" s="36"/>
      <c r="R80" s="43"/>
      <c r="S80" s="43"/>
    </row>
    <row r="81" spans="1:19" hidden="1" x14ac:dyDescent="0.2">
      <c r="A81" s="1"/>
      <c r="B81" s="1"/>
      <c r="C81" s="1"/>
      <c r="D81" s="1"/>
      <c r="E81" s="1"/>
      <c r="F81" s="1"/>
      <c r="G81" s="1"/>
      <c r="H81" s="1" t="s">
        <v>1085</v>
      </c>
      <c r="I81" s="1">
        <f>180/PI()*ACOS(F42/I79)</f>
        <v>40.017938992470377</v>
      </c>
      <c r="J81" s="1" t="s">
        <v>1076</v>
      </c>
      <c r="K81" s="1"/>
      <c r="Q81" s="36"/>
      <c r="R81" s="43"/>
      <c r="S81" s="43"/>
    </row>
    <row r="82" spans="1:19" hidden="1" x14ac:dyDescent="0.2">
      <c r="A82" s="1"/>
      <c r="B82" s="1"/>
      <c r="C82" s="1"/>
      <c r="D82" s="1"/>
      <c r="E82" s="1"/>
      <c r="F82" s="1"/>
      <c r="G82" s="1"/>
      <c r="H82" s="37" t="s">
        <v>1086</v>
      </c>
      <c r="I82" s="41">
        <f>IF(C70&lt;0,-90+I81+I80-I73,90-I81+I80-I73)</f>
        <v>-88.094087227476606</v>
      </c>
      <c r="J82" s="41" t="s">
        <v>1133</v>
      </c>
      <c r="K82" s="41">
        <f>IF(C70&lt;0,-90+I81+I80,90-I81+I80)</f>
        <v>-55.844068308804751</v>
      </c>
      <c r="L82" s="41" t="s">
        <v>1112</v>
      </c>
      <c r="Q82" s="36"/>
      <c r="R82" s="43"/>
      <c r="S82" s="43"/>
    </row>
    <row r="83" spans="1:19" hidden="1" x14ac:dyDescent="0.2">
      <c r="A83" s="1"/>
      <c r="B83" s="1"/>
      <c r="C83" s="1"/>
      <c r="D83" s="1"/>
      <c r="E83" s="1"/>
      <c r="F83" s="1"/>
      <c r="G83" s="1"/>
      <c r="H83" s="176" t="s">
        <v>459</v>
      </c>
      <c r="I83" s="41">
        <f>IF(C70&lt;0,IF(I82&lt;0,I82,I82-360),IF(I82&gt;0,I82,I82+360))</f>
        <v>271.90591277252338</v>
      </c>
      <c r="J83" s="41" t="s">
        <v>462</v>
      </c>
      <c r="K83" s="41"/>
      <c r="L83" s="41"/>
      <c r="Q83" s="36"/>
      <c r="R83" s="43"/>
      <c r="S83" s="43"/>
    </row>
    <row r="84" spans="1:19" hidden="1" x14ac:dyDescent="0.2">
      <c r="A84" s="1"/>
      <c r="B84" s="1"/>
      <c r="C84" s="1"/>
      <c r="D84" s="1"/>
      <c r="E84" s="1"/>
      <c r="F84" s="1"/>
      <c r="G84" s="1"/>
      <c r="H84" s="176" t="s">
        <v>459</v>
      </c>
      <c r="I84" s="41">
        <f>PI()/180*I83</f>
        <v>4.7456534335210367</v>
      </c>
      <c r="J84" s="41" t="s">
        <v>61</v>
      </c>
      <c r="K84" s="41"/>
      <c r="L84" s="41"/>
      <c r="Q84" s="36"/>
      <c r="R84" s="43"/>
      <c r="S84" s="43"/>
    </row>
    <row r="85" spans="1:19" hidden="1" x14ac:dyDescent="0.2">
      <c r="A85" s="1"/>
      <c r="B85" s="1"/>
      <c r="C85" s="1"/>
      <c r="D85" s="1"/>
      <c r="E85" s="1"/>
      <c r="F85" s="1"/>
      <c r="G85" s="1"/>
      <c r="H85" s="176" t="s">
        <v>1126</v>
      </c>
      <c r="I85" s="41">
        <f>IF(I84&lt;-1.57,I84+1.57,0)</f>
        <v>0</v>
      </c>
      <c r="J85" s="41" t="s">
        <v>1116</v>
      </c>
      <c r="K85" s="41"/>
      <c r="L85" s="41"/>
      <c r="Q85" s="36"/>
      <c r="R85" s="43"/>
      <c r="S85" s="43"/>
    </row>
    <row r="86" spans="1:19" hidden="1" x14ac:dyDescent="0.2">
      <c r="A86" s="1"/>
      <c r="B86" s="1"/>
      <c r="C86" s="1"/>
      <c r="D86" s="1"/>
      <c r="E86" s="1"/>
      <c r="F86" s="1"/>
      <c r="G86" s="1"/>
      <c r="H86" s="176" t="s">
        <v>463</v>
      </c>
      <c r="I86" s="41">
        <f>IF(I85&lt;-1.57,I85+1.57,0)</f>
        <v>0</v>
      </c>
      <c r="J86" s="41" t="s">
        <v>1116</v>
      </c>
      <c r="K86" s="41"/>
      <c r="L86" s="41"/>
      <c r="Q86" s="36"/>
      <c r="R86" s="43"/>
      <c r="S86" s="43"/>
    </row>
    <row r="87" spans="1:19" hidden="1" x14ac:dyDescent="0.2">
      <c r="A87" s="1"/>
      <c r="B87" s="1"/>
      <c r="C87" s="1"/>
      <c r="D87" s="1"/>
      <c r="E87" s="1"/>
      <c r="F87" s="1"/>
      <c r="G87" s="1"/>
      <c r="H87" s="176" t="s">
        <v>464</v>
      </c>
      <c r="I87" s="41">
        <f>IF(I86&lt;-1.57,I86+1.57,0)</f>
        <v>0</v>
      </c>
      <c r="J87" s="41" t="s">
        <v>1116</v>
      </c>
      <c r="K87" s="41"/>
      <c r="L87" s="41"/>
      <c r="Q87" s="36"/>
      <c r="R87" s="43"/>
      <c r="S87" s="43"/>
    </row>
    <row r="88" spans="1:19" hidden="1" x14ac:dyDescent="0.2">
      <c r="A88" s="1"/>
      <c r="B88" s="1"/>
      <c r="C88" s="1"/>
      <c r="D88" s="1"/>
      <c r="E88" s="1"/>
      <c r="F88" s="1"/>
      <c r="G88" s="1"/>
      <c r="H88" s="176" t="s">
        <v>1115</v>
      </c>
      <c r="I88" s="41">
        <f>IF(I84&gt;1.57,I84-1.57,0)</f>
        <v>3.1756534335210365</v>
      </c>
      <c r="J88" s="41" t="s">
        <v>1117</v>
      </c>
      <c r="K88" s="41"/>
      <c r="L88" s="41"/>
      <c r="Q88" s="36"/>
      <c r="R88" s="43"/>
      <c r="S88" s="43"/>
    </row>
    <row r="89" spans="1:19" hidden="1" x14ac:dyDescent="0.2">
      <c r="A89" s="1"/>
      <c r="B89" s="1"/>
      <c r="C89" s="1"/>
      <c r="D89" s="1"/>
      <c r="E89" s="1"/>
      <c r="F89" s="1"/>
      <c r="G89" s="1"/>
      <c r="H89" s="176" t="s">
        <v>466</v>
      </c>
      <c r="I89" s="41">
        <f>IF(I88&gt;1.57,I88-1.57,0)</f>
        <v>1.6056534335210364</v>
      </c>
      <c r="J89" s="41" t="s">
        <v>1117</v>
      </c>
      <c r="K89" s="41"/>
      <c r="L89" s="41"/>
      <c r="Q89" s="36"/>
      <c r="R89" s="43"/>
      <c r="S89" s="43"/>
    </row>
    <row r="90" spans="1:19" hidden="1" x14ac:dyDescent="0.2">
      <c r="A90" s="1"/>
      <c r="B90" s="1"/>
      <c r="C90" s="1"/>
      <c r="D90" s="1"/>
      <c r="E90" s="1"/>
      <c r="F90" s="1"/>
      <c r="G90" s="1"/>
      <c r="H90" s="176" t="s">
        <v>465</v>
      </c>
      <c r="I90" s="41">
        <f>IF(I89&gt;1.57,I89-1.57,0)</f>
        <v>3.5653433521036337E-2</v>
      </c>
      <c r="J90" s="41" t="s">
        <v>1117</v>
      </c>
      <c r="K90" s="41"/>
      <c r="L90" s="41"/>
      <c r="Q90" s="36"/>
      <c r="R90" s="43"/>
      <c r="S90" s="43"/>
    </row>
    <row r="91" spans="1:19" hidden="1" x14ac:dyDescent="0.2">
      <c r="A91" s="1"/>
      <c r="B91" s="1"/>
      <c r="C91" s="1"/>
      <c r="D91" s="1"/>
      <c r="E91" s="1"/>
      <c r="F91" s="1"/>
      <c r="G91" s="1"/>
      <c r="H91" s="176"/>
      <c r="I91" s="41"/>
      <c r="J91" s="41"/>
      <c r="K91" s="41"/>
      <c r="L91" s="41"/>
      <c r="Q91" s="36"/>
      <c r="R91" s="43"/>
      <c r="S91" s="43"/>
    </row>
    <row r="92" spans="1:19" hidden="1" x14ac:dyDescent="0.2">
      <c r="A92" s="1" t="s">
        <v>515</v>
      </c>
      <c r="B92" s="1" t="s">
        <v>1113</v>
      </c>
      <c r="C92" s="1"/>
      <c r="D92" s="1">
        <v>0</v>
      </c>
      <c r="E92" s="1">
        <f>J93</f>
        <v>-0.69524876165873373</v>
      </c>
      <c r="F92" s="1">
        <v>0</v>
      </c>
      <c r="G92" s="1">
        <f>J92</f>
        <v>-0.71876919759544322</v>
      </c>
      <c r="H92" s="1"/>
      <c r="I92" s="1" t="s">
        <v>1087</v>
      </c>
      <c r="J92" s="1">
        <f>COS(I84/2)</f>
        <v>-0.71876919759544322</v>
      </c>
      <c r="K92" s="1"/>
      <c r="L92" s="1"/>
      <c r="M92" s="1"/>
      <c r="N92" s="1"/>
    </row>
    <row r="93" spans="1:19" hidden="1" x14ac:dyDescent="0.2">
      <c r="A93" s="1" t="s">
        <v>515</v>
      </c>
      <c r="B93" s="1" t="s">
        <v>723</v>
      </c>
      <c r="C93" s="1"/>
      <c r="D93" s="1">
        <f>O30</f>
        <v>0</v>
      </c>
      <c r="E93" s="1">
        <f>P30</f>
        <v>-0.27773399999999998</v>
      </c>
      <c r="F93" s="1">
        <f>Q30</f>
        <v>0</v>
      </c>
      <c r="G93" s="1">
        <f>R30</f>
        <v>0.96065800000000001</v>
      </c>
      <c r="H93" s="1"/>
      <c r="I93" s="1" t="s">
        <v>1088</v>
      </c>
      <c r="J93" s="1">
        <f>-SIN(I84/2)</f>
        <v>-0.69524876165873373</v>
      </c>
      <c r="K93" s="1"/>
      <c r="L93" s="1"/>
      <c r="M93" s="1"/>
      <c r="N93" s="1"/>
    </row>
    <row r="94" spans="1:19" hidden="1" x14ac:dyDescent="0.2">
      <c r="A94" s="1" t="s">
        <v>515</v>
      </c>
      <c r="B94" s="1" t="s">
        <v>1114</v>
      </c>
      <c r="C94" s="1"/>
      <c r="D94" s="1">
        <f>D92*G93-E92*F93+F92*E93+G92*D93</f>
        <v>0</v>
      </c>
      <c r="E94" s="1">
        <f>D92*F93+E92*G93-F92*D93+G92*E93</f>
        <v>-0.46826964055258302</v>
      </c>
      <c r="F94" s="1">
        <f>-D92*E93+E92*D93+F92*G93+G92*F93</f>
        <v>0</v>
      </c>
      <c r="G94" s="1">
        <f>-D92*D93-E92*E93-F92*F93+G92*G93</f>
        <v>-0.88358559939417003</v>
      </c>
      <c r="H94" s="163" t="s">
        <v>459</v>
      </c>
      <c r="I94" s="37" t="str">
        <f>CONCATENATE(TEXT(D94,"0.000000")," ",TEXT(E94,"0.000000")," ",TEXT(F94,"0.000000")," ",TEXT(G94,"0.000000"))</f>
        <v>0.000000 -0.468270 0.000000 -0.883586</v>
      </c>
      <c r="J94" s="1"/>
      <c r="K94" s="1"/>
      <c r="L94" s="1"/>
      <c r="M94" s="20" t="s">
        <v>227</v>
      </c>
      <c r="N94" s="1">
        <f>D94*D94+E94*E94+F94*F94+G94*G94</f>
        <v>0.99999996771999999</v>
      </c>
    </row>
    <row r="95" spans="1:19" hidden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Q95" s="36"/>
      <c r="R95" s="43"/>
      <c r="S95" s="43"/>
    </row>
    <row r="96" spans="1:19" hidden="1" x14ac:dyDescent="0.2">
      <c r="A96" s="1" t="s">
        <v>515</v>
      </c>
      <c r="B96" s="1" t="s">
        <v>795</v>
      </c>
      <c r="C96" s="1"/>
      <c r="D96" s="1">
        <f t="shared" ref="D96:F97" si="0">D67</f>
        <v>0.84572761820800002</v>
      </c>
      <c r="E96" s="1">
        <f t="shared" si="0"/>
        <v>0</v>
      </c>
      <c r="F96" s="1">
        <f t="shared" si="0"/>
        <v>-0.53361477794399992</v>
      </c>
      <c r="G96" s="20" t="s">
        <v>1089</v>
      </c>
      <c r="H96" s="1">
        <f>1-COS(I84)</f>
        <v>0.96674168117600545</v>
      </c>
      <c r="I96" s="1"/>
      <c r="J96" s="1"/>
      <c r="K96" s="1"/>
      <c r="L96" s="1"/>
      <c r="M96" s="1"/>
      <c r="N96" s="1"/>
    </row>
    <row r="97" spans="1:20" hidden="1" x14ac:dyDescent="0.2">
      <c r="A97" s="1" t="s">
        <v>515</v>
      </c>
      <c r="B97" s="1" t="s">
        <v>794</v>
      </c>
      <c r="C97" s="1"/>
      <c r="D97" s="1">
        <f t="shared" si="0"/>
        <v>0.53361477794399992</v>
      </c>
      <c r="E97" s="1">
        <f t="shared" si="0"/>
        <v>0</v>
      </c>
      <c r="F97" s="1">
        <f t="shared" si="0"/>
        <v>0.84572761820800002</v>
      </c>
      <c r="G97" s="20" t="s">
        <v>1120</v>
      </c>
      <c r="H97" s="1">
        <f>ABS(SIN(I84))</f>
        <v>0.99944678909334717</v>
      </c>
      <c r="I97" s="1"/>
      <c r="J97" s="1"/>
      <c r="K97" s="1"/>
      <c r="L97" s="1"/>
      <c r="M97" s="1"/>
      <c r="N97" s="1"/>
    </row>
    <row r="98" spans="1:20" hidden="1" x14ac:dyDescent="0.2">
      <c r="A98" s="1" t="s">
        <v>515</v>
      </c>
      <c r="B98" s="1" t="s">
        <v>1091</v>
      </c>
      <c r="C98" s="1"/>
      <c r="D98" s="1">
        <f>IF(C70&lt;0,-F42*H96*D96+F42*H97*D97,F42*H96*D96+F42*H97*D97)</f>
        <v>67.545985793613553</v>
      </c>
      <c r="E98" s="1">
        <f>IF(C70&lt;0,-F42*H96*E96+F42*H97*E97,F42*H96*E96+F42*H97*E97)</f>
        <v>0</v>
      </c>
      <c r="F98" s="1">
        <f>IF(C70&lt;0,-F42*H96*F96+F42*H97*F97,F42*H96*F96+F42*H97*F97)</f>
        <v>16.469605246780322</v>
      </c>
      <c r="G98" s="1"/>
      <c r="H98" s="1"/>
      <c r="I98" s="1"/>
      <c r="J98" s="1"/>
      <c r="K98" s="1"/>
      <c r="L98" s="1"/>
      <c r="M98" s="1"/>
      <c r="N98" s="1"/>
    </row>
    <row r="99" spans="1:20" hidden="1" x14ac:dyDescent="0.2">
      <c r="A99" s="1" t="s">
        <v>515</v>
      </c>
      <c r="B99" s="1" t="s">
        <v>1090</v>
      </c>
      <c r="C99" s="1"/>
      <c r="D99" s="1">
        <f>D66+D98</f>
        <v>67.47263679361356</v>
      </c>
      <c r="E99" s="1">
        <f>E66+E98</f>
        <v>1</v>
      </c>
      <c r="F99" s="1">
        <f>F66+F98</f>
        <v>100.78550524678032</v>
      </c>
      <c r="G99" s="163" t="s">
        <v>459</v>
      </c>
      <c r="H99" s="37" t="str">
        <f>CONCATENATE(TEXT(D99,"0.000000")," ",TEXT(E99,"0.000000")," ",TEXT(F99,"0.000000"))</f>
        <v>67.472637 1.000000 100.785505</v>
      </c>
      <c r="I99" s="1"/>
      <c r="J99" s="1"/>
      <c r="K99" s="1"/>
      <c r="L99" s="1" t="s">
        <v>1122</v>
      </c>
      <c r="M99" s="1"/>
      <c r="N99" s="1"/>
    </row>
    <row r="100" spans="1:20" hidden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Q100" s="36"/>
      <c r="R100" s="43"/>
      <c r="S100" s="43"/>
    </row>
    <row r="101" spans="1:20" hidden="1" x14ac:dyDescent="0.2">
      <c r="A101" s="1" t="s">
        <v>1124</v>
      </c>
      <c r="B101" s="1"/>
      <c r="C101" s="1"/>
      <c r="D101" s="1" t="s">
        <v>40</v>
      </c>
      <c r="E101" s="1" t="s">
        <v>41</v>
      </c>
      <c r="F101" s="1" t="s">
        <v>42</v>
      </c>
      <c r="G101" s="19" t="s">
        <v>882</v>
      </c>
      <c r="H101" s="19" t="s">
        <v>881</v>
      </c>
      <c r="I101" s="19" t="s">
        <v>499</v>
      </c>
      <c r="J101" s="1"/>
      <c r="K101" s="1"/>
      <c r="Q101" s="36"/>
      <c r="R101" s="43"/>
      <c r="S101" s="43"/>
    </row>
    <row r="102" spans="1:20" hidden="1" x14ac:dyDescent="0.2">
      <c r="A102" s="1"/>
      <c r="B102" s="1" t="s">
        <v>1125</v>
      </c>
      <c r="C102" s="1"/>
      <c r="D102" s="1">
        <f>2048*(D51-D38)+I67-D99</f>
        <v>-87.47263679361356</v>
      </c>
      <c r="E102" s="1">
        <f>J67-E99</f>
        <v>9</v>
      </c>
      <c r="F102" s="1">
        <f>2048*(H51-H38)+K67-F99</f>
        <v>-60.785505246780318</v>
      </c>
      <c r="G102" s="19">
        <f>IF(ABS(E102/K79)&lt;0.99999,ATAN(E102/SQRT(D102*D102+F102*F102)),SIGN(E102/K79)*1000)</f>
        <v>8.4291608681327915E-2</v>
      </c>
      <c r="H102" s="19">
        <f>IF(ABS(E102/K79)&lt;0.99999,180/PI()*ATAN(E102/SQRT(D102*D102+F102*F102)),SIGN(E102/K79)*90)</f>
        <v>4.8295534258083803</v>
      </c>
      <c r="I102" s="19">
        <f>IF(ABS(D102)&gt;0.00001,IF(D102&gt;0,90-180/PI()*ATAN(F102/D102),-90-180/PI()*ATAN(F102/D102)),-90+SIGN(F102)*90)</f>
        <v>-124.79577698150223</v>
      </c>
      <c r="J102" s="1"/>
      <c r="K102" s="1"/>
      <c r="Q102" s="36"/>
      <c r="R102" s="43"/>
      <c r="S102" s="43"/>
    </row>
    <row r="103" spans="1:20" x14ac:dyDescent="0.2">
      <c r="A103" s="33" t="s">
        <v>521</v>
      </c>
      <c r="B103" s="1"/>
      <c r="C103" s="1"/>
      <c r="D103" s="1"/>
      <c r="E103" s="1"/>
      <c r="F103" s="1"/>
      <c r="G103" s="1"/>
      <c r="H103" s="1"/>
      <c r="I103" s="1"/>
      <c r="J103" s="1"/>
      <c r="K103" s="77"/>
      <c r="Q103" s="36"/>
      <c r="R103" s="43"/>
      <c r="S103" s="43"/>
      <c r="T103" s="77"/>
    </row>
    <row r="104" spans="1:20" x14ac:dyDescent="0.2">
      <c r="B104" s="25" t="s">
        <v>516</v>
      </c>
      <c r="E104" s="184">
        <f>K79</f>
        <v>41.98166560066619</v>
      </c>
      <c r="F104" s="41" t="s">
        <v>576</v>
      </c>
      <c r="G104" s="1"/>
      <c r="H104" s="1"/>
      <c r="I104" s="1"/>
      <c r="J104" s="1"/>
      <c r="K104" s="1"/>
    </row>
    <row r="105" spans="1:20" x14ac:dyDescent="0.2">
      <c r="B105" s="52" t="s">
        <v>517</v>
      </c>
      <c r="C105" s="2"/>
      <c r="D105" s="2"/>
      <c r="E105" s="74">
        <f>I102</f>
        <v>-124.79577698150223</v>
      </c>
      <c r="F105" t="s">
        <v>1320</v>
      </c>
      <c r="G105" s="1"/>
      <c r="H105" s="19"/>
      <c r="I105" s="2"/>
      <c r="J105" s="19"/>
      <c r="K105" s="19"/>
    </row>
    <row r="106" spans="1:20" s="45" customFormat="1" x14ac:dyDescent="0.2">
      <c r="B106" s="95" t="s">
        <v>518</v>
      </c>
      <c r="C106" s="66"/>
      <c r="D106" s="66"/>
      <c r="E106" s="96">
        <f>H102</f>
        <v>4.8295534258083803</v>
      </c>
      <c r="F106" s="45" t="s">
        <v>924</v>
      </c>
      <c r="G106" s="97">
        <f>100*G102</f>
        <v>8.4291608681327919</v>
      </c>
      <c r="H106" s="97" t="s">
        <v>1319</v>
      </c>
      <c r="I106" s="51"/>
      <c r="J106" s="51"/>
      <c r="K106" s="51"/>
    </row>
    <row r="107" spans="1:20" s="28" customFormat="1" ht="13.5" thickBot="1" x14ac:dyDescent="0.25">
      <c r="B107" s="93"/>
      <c r="C107" s="29"/>
      <c r="D107" s="29"/>
      <c r="E107" s="29"/>
      <c r="G107" s="94"/>
      <c r="H107" s="94"/>
      <c r="I107" s="30"/>
      <c r="J107" s="30"/>
      <c r="K107" s="30"/>
    </row>
    <row r="108" spans="1:20" s="92" customFormat="1" x14ac:dyDescent="0.2">
      <c r="A108" s="92" t="s">
        <v>1321</v>
      </c>
    </row>
    <row r="109" spans="1:20" s="15" customFormat="1" x14ac:dyDescent="0.2"/>
    <row r="110" spans="1:20" s="15" customFormat="1" x14ac:dyDescent="0.2">
      <c r="A110" s="82" t="s">
        <v>482</v>
      </c>
      <c r="B110" s="11"/>
      <c r="C110" s="11"/>
      <c r="D110" s="11"/>
      <c r="E110" s="11"/>
      <c r="F110" s="11"/>
      <c r="G110" s="11"/>
    </row>
    <row r="111" spans="1:20" s="15" customFormat="1" x14ac:dyDescent="0.2"/>
    <row r="112" spans="1:20" s="15" customFormat="1" x14ac:dyDescent="0.2">
      <c r="B112" s="21" t="s">
        <v>1183</v>
      </c>
    </row>
    <row r="113" spans="1:15" s="15" customFormat="1" x14ac:dyDescent="0.2">
      <c r="C113" s="21" t="s">
        <v>1184</v>
      </c>
    </row>
    <row r="114" spans="1:15" s="15" customFormat="1" x14ac:dyDescent="0.2">
      <c r="B114" s="21" t="s">
        <v>481</v>
      </c>
    </row>
    <row r="115" spans="1:15" s="15" customFormat="1" x14ac:dyDescent="0.2">
      <c r="B115" s="21"/>
      <c r="C115" s="21" t="s">
        <v>467</v>
      </c>
    </row>
    <row r="116" spans="1:15" s="15" customFormat="1" x14ac:dyDescent="0.2">
      <c r="B116" s="16" t="s">
        <v>1171</v>
      </c>
    </row>
    <row r="117" spans="1:15" s="15" customFormat="1" x14ac:dyDescent="0.2"/>
    <row r="118" spans="1:15" s="15" customFormat="1" x14ac:dyDescent="0.2">
      <c r="A118" s="179" t="s">
        <v>468</v>
      </c>
      <c r="B118" s="177" t="s">
        <v>1172</v>
      </c>
      <c r="J118" s="73">
        <v>0</v>
      </c>
      <c r="K118" s="21" t="s">
        <v>576</v>
      </c>
    </row>
    <row r="119" spans="1:15" s="15" customFormat="1" x14ac:dyDescent="0.2">
      <c r="A119" s="179" t="s">
        <v>469</v>
      </c>
      <c r="B119" s="177" t="s">
        <v>1173</v>
      </c>
      <c r="J119" s="73">
        <f>F42</f>
        <v>50</v>
      </c>
      <c r="K119" s="21" t="s">
        <v>576</v>
      </c>
    </row>
    <row r="120" spans="1:15" s="15" customFormat="1" x14ac:dyDescent="0.2">
      <c r="A120" s="179" t="s">
        <v>470</v>
      </c>
      <c r="B120" s="177" t="s">
        <v>1174</v>
      </c>
      <c r="C120" s="21"/>
      <c r="D120" s="21"/>
      <c r="E120" s="21"/>
      <c r="F120" s="21"/>
      <c r="G120" s="21"/>
      <c r="H120" s="21"/>
      <c r="I120" s="21"/>
      <c r="J120" s="73">
        <f>-ROUND(MIN(ABS(I84),1.57),3)</f>
        <v>-1.57</v>
      </c>
      <c r="K120" s="21" t="s">
        <v>61</v>
      </c>
      <c r="L120" s="21"/>
      <c r="M120" s="21"/>
      <c r="N120" s="21"/>
      <c r="O120" s="21"/>
    </row>
    <row r="121" spans="1:15" s="15" customFormat="1" x14ac:dyDescent="0.2">
      <c r="A121" s="179" t="s">
        <v>471</v>
      </c>
      <c r="B121" s="177" t="str">
        <f>T(IF(C70&gt;0,"Press T to create a RIGHT turn.","Check that this dynamic track section gives a left turn."))</f>
        <v>Press T to create a RIGHT turn.</v>
      </c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</row>
    <row r="122" spans="1:15" s="15" customFormat="1" x14ac:dyDescent="0.2">
      <c r="A122" s="179" t="s">
        <v>472</v>
      </c>
      <c r="B122" s="177" t="str">
        <f>T(IF(ABS(I83)&gt;90,"Full turn angle is larger than pi/2=90°; you need a SECOND dynamic track section:","No 2nd curved dyn. track section is needed."))</f>
        <v>Full turn angle is larger than pi/2=90°; you need a SECOND dynamic track section: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</row>
    <row r="123" spans="1:15" s="15" customFormat="1" x14ac:dyDescent="0.2">
      <c r="A123" s="179" t="s">
        <v>473</v>
      </c>
      <c r="B123" s="177" t="str">
        <f>T(IF(OR(ABS(I85)&gt;0,I88&gt;0),"In RE, add a 2nd curved dyn. track section, with same radius, but turn angle:","Skip to step 10)"))</f>
        <v>In RE, add a 2nd curved dyn. track section, with same radius, but turn angle:</v>
      </c>
      <c r="C123" s="21"/>
      <c r="D123" s="21"/>
      <c r="E123" s="21"/>
      <c r="F123" s="21"/>
      <c r="G123" s="21"/>
      <c r="H123" s="21"/>
      <c r="I123" s="21"/>
      <c r="J123" s="73">
        <f>-ROUND(IF(C70&lt;0,IF(ABS(I85)&lt;1.57,ABS(I85),1.57),IF(I88&lt;1.57,I88,1.57)),3)</f>
        <v>-1.57</v>
      </c>
      <c r="K123" s="21" t="s">
        <v>61</v>
      </c>
      <c r="L123" s="21"/>
      <c r="M123" s="21"/>
      <c r="N123" s="21"/>
      <c r="O123" s="21"/>
    </row>
    <row r="124" spans="1:15" s="15" customFormat="1" x14ac:dyDescent="0.2">
      <c r="A124" s="179" t="s">
        <v>474</v>
      </c>
      <c r="B124" s="177" t="str">
        <f>T(IF(C70&gt;0,"Press T to create a RIGHT turn.","Check that this dynamic track section gives a left turn."))</f>
        <v>Press T to create a RIGHT turn.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</row>
    <row r="125" spans="1:15" s="15" customFormat="1" x14ac:dyDescent="0.2">
      <c r="A125" s="179" t="s">
        <v>475</v>
      </c>
      <c r="B125" s="178" t="str">
        <f>T(IF(ABS(I83)&gt;180,"Full turn angle is larger than pi=180°; you need a THIRD dynamic track section:","No 3rd curved dyn. track section is needed."))</f>
        <v>Full turn angle is larger than pi=180°; you need a THIRD dynamic track section: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</row>
    <row r="126" spans="1:15" s="15" customFormat="1" x14ac:dyDescent="0.2">
      <c r="A126" s="179" t="s">
        <v>476</v>
      </c>
      <c r="B126" s="178" t="str">
        <f>T(IF(OR(ABS(I86)&gt;0,I89&gt;0),"In RE, add a 3rd curved dyn. track section, with same radius, but turn angle:","Skip to step 10)"))</f>
        <v>In RE, add a 3rd curved dyn. track section, with same radius, but turn angle:</v>
      </c>
      <c r="C126" s="21"/>
      <c r="D126" s="21"/>
      <c r="E126" s="21"/>
      <c r="F126" s="21"/>
      <c r="G126" s="21"/>
      <c r="H126" s="21"/>
      <c r="I126" s="21"/>
      <c r="J126" s="73">
        <f>-ROUND(IF(C70&lt;0,IF(ABS(I86)&lt;1.57,ABS(I86),1.57),IF(I89&lt;1.57,I89,1.57)),3)</f>
        <v>-1.57</v>
      </c>
      <c r="K126" s="21" t="s">
        <v>61</v>
      </c>
      <c r="L126" s="21"/>
      <c r="M126" s="21"/>
      <c r="N126" s="21"/>
      <c r="O126" s="21"/>
    </row>
    <row r="127" spans="1:15" s="15" customFormat="1" x14ac:dyDescent="0.2">
      <c r="A127" s="179" t="s">
        <v>477</v>
      </c>
      <c r="B127" s="177" t="str">
        <f>T(IF(C70&gt;0,"Press T to create a RIGHT turn.","Check that this dynamic track section gives a left turn."))</f>
        <v>Press T to create a RIGHT turn.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</row>
    <row r="128" spans="1:15" s="15" customFormat="1" x14ac:dyDescent="0.2">
      <c r="A128" s="179" t="s">
        <v>478</v>
      </c>
      <c r="B128" s="178" t="str">
        <f>T(IF(ABS(I83)&gt;270,"Full turn angle is larger than pi.3/2=270°; you need a FOURTH dynamic track section:","No 4th curved dyn. track section is needed."))</f>
        <v>Full turn angle is larger than pi.3/2=270°; you need a FOURTH dynamic track section:</v>
      </c>
      <c r="C128" s="21"/>
      <c r="D128" s="21"/>
      <c r="E128" s="21"/>
      <c r="F128" s="21"/>
      <c r="G128" s="21"/>
      <c r="H128" s="21"/>
      <c r="I128" s="21"/>
      <c r="J128" s="21"/>
      <c r="L128" s="21"/>
      <c r="M128" s="21"/>
      <c r="N128" s="21"/>
      <c r="O128" s="21"/>
    </row>
    <row r="129" spans="1:20" s="15" customFormat="1" x14ac:dyDescent="0.2">
      <c r="A129" s="179" t="s">
        <v>479</v>
      </c>
      <c r="B129" s="178" t="str">
        <f>T(IF(OR(ABS(I87)&gt;0,I90&gt;0),"In RE, add a 4th curved dyn. track section, with same radius, but turn angle:","Skip to step 10)"))</f>
        <v>In RE, add a 4th curved dyn. track section, with same radius, but turn angle:</v>
      </c>
      <c r="C129" s="21"/>
      <c r="D129" s="21"/>
      <c r="E129" s="21"/>
      <c r="F129" s="21"/>
      <c r="G129" s="21"/>
      <c r="H129" s="21"/>
      <c r="I129" s="21"/>
      <c r="J129" s="73">
        <f>-ROUND(IF(C70&lt;0,IF(ABS(I87)&lt;1.57,ABS(I87),1.57),IF(I90&lt;1.57,I90,1.57)),3)</f>
        <v>-3.5999999999999997E-2</v>
      </c>
      <c r="K129" s="21" t="s">
        <v>61</v>
      </c>
      <c r="L129" s="21"/>
      <c r="M129" s="21"/>
      <c r="N129" s="21"/>
      <c r="O129" s="21"/>
    </row>
    <row r="130" spans="1:20" s="15" customFormat="1" x14ac:dyDescent="0.2">
      <c r="A130" s="179" t="s">
        <v>480</v>
      </c>
      <c r="B130" s="177" t="str">
        <f>T(IF(C70&gt;0,"Press T to create a RIGHT turn.","Check that this dynamic track section gives a left turn."))</f>
        <v>Press T to create a RIGHT turn.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</row>
    <row r="131" spans="1:20" s="15" customFormat="1" x14ac:dyDescent="0.2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</row>
    <row r="132" spans="1:20" s="15" customFormat="1" x14ac:dyDescent="0.2">
      <c r="A132" s="82" t="s">
        <v>1180</v>
      </c>
      <c r="B132" s="11"/>
      <c r="C132" s="11"/>
      <c r="D132" s="11"/>
      <c r="E132" s="11"/>
      <c r="F132" s="11"/>
      <c r="G132" s="11"/>
      <c r="H132" s="11"/>
      <c r="I132" s="21"/>
      <c r="J132" s="21"/>
      <c r="K132" s="21"/>
      <c r="L132" s="21"/>
      <c r="M132" s="21"/>
      <c r="N132" s="21"/>
      <c r="O132" s="21"/>
    </row>
    <row r="133" spans="1:20" s="15" customFormat="1" x14ac:dyDescent="0.2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</row>
    <row r="134" spans="1:20" s="15" customFormat="1" x14ac:dyDescent="0.2">
      <c r="A134" s="21"/>
      <c r="B134" s="21" t="s">
        <v>1181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</row>
    <row r="135" spans="1:20" s="15" customFormat="1" x14ac:dyDescent="0.2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</row>
    <row r="136" spans="1:20" s="15" customFormat="1" x14ac:dyDescent="0.2">
      <c r="A136" s="82" t="s">
        <v>1175</v>
      </c>
      <c r="B136" s="1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</row>
    <row r="137" spans="1:20" s="15" customFormat="1" x14ac:dyDescent="0.2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77"/>
      <c r="L137" s="21"/>
      <c r="M137" s="21"/>
      <c r="N137" s="21"/>
      <c r="O137" s="21"/>
      <c r="T137" s="77"/>
    </row>
    <row r="138" spans="1:20" hidden="1" x14ac:dyDescent="0.2">
      <c r="A138" s="19" t="s">
        <v>1324</v>
      </c>
      <c r="B138" s="19"/>
      <c r="C138" s="19" t="s">
        <v>1322</v>
      </c>
      <c r="D138" s="19"/>
      <c r="E138" s="91">
        <v>0</v>
      </c>
      <c r="F138" s="1" t="s">
        <v>1076</v>
      </c>
      <c r="G138" s="1"/>
      <c r="H138" s="1" t="s">
        <v>844</v>
      </c>
      <c r="I138" s="1" t="s">
        <v>845</v>
      </c>
      <c r="J138" s="1" t="s">
        <v>846</v>
      </c>
      <c r="K138" s="1" t="s">
        <v>847</v>
      </c>
      <c r="L138" s="1"/>
      <c r="M138" s="1" t="s">
        <v>163</v>
      </c>
      <c r="N138" s="1" t="s">
        <v>526</v>
      </c>
      <c r="O138" s="1" t="s">
        <v>527</v>
      </c>
    </row>
    <row r="139" spans="1:20" hidden="1" x14ac:dyDescent="0.2">
      <c r="A139" s="19"/>
      <c r="B139" s="19"/>
      <c r="C139" s="19" t="s">
        <v>1323</v>
      </c>
      <c r="D139" s="19"/>
      <c r="E139" s="91">
        <v>0</v>
      </c>
      <c r="F139" s="1" t="s">
        <v>1076</v>
      </c>
      <c r="G139" s="1" t="s">
        <v>856</v>
      </c>
      <c r="H139" s="19">
        <f>M139*N139*O139+M140*N140*O140</f>
        <v>0.46332869387839049</v>
      </c>
      <c r="I139" s="19">
        <f>M140*N139*O139-M139*N140*O140</f>
        <v>0.88618650487859763</v>
      </c>
      <c r="J139" s="19">
        <f>M139*N140*O139+M140*N139*O140</f>
        <v>0</v>
      </c>
      <c r="K139" s="19">
        <f>M139*N139*O140-M140*N140*O139</f>
        <v>0</v>
      </c>
      <c r="L139" s="20" t="s">
        <v>34</v>
      </c>
      <c r="M139" s="1">
        <f>COS(-0.5*E140*PI()/180)</f>
        <v>0.46332869387839049</v>
      </c>
      <c r="N139" s="1">
        <f>COS(0.5*E139*PI()/180)</f>
        <v>1</v>
      </c>
      <c r="O139" s="1">
        <f>COS(0.5*E138*PI()/180)</f>
        <v>1</v>
      </c>
    </row>
    <row r="140" spans="1:20" hidden="1" x14ac:dyDescent="0.2">
      <c r="A140" s="19"/>
      <c r="B140" s="19"/>
      <c r="C140" s="19" t="s">
        <v>694</v>
      </c>
      <c r="D140" s="19"/>
      <c r="E140" s="91">
        <f>E105</f>
        <v>-124.79577698150223</v>
      </c>
      <c r="F140" s="1" t="s">
        <v>1076</v>
      </c>
      <c r="G140" s="1" t="s">
        <v>857</v>
      </c>
      <c r="H140" s="1">
        <f>J139</f>
        <v>0</v>
      </c>
      <c r="I140" s="1">
        <f>I139</f>
        <v>0.88618650487859763</v>
      </c>
      <c r="J140" s="1">
        <f>K139</f>
        <v>0</v>
      </c>
      <c r="K140" s="1">
        <f>H139</f>
        <v>0.46332869387839049</v>
      </c>
      <c r="L140" s="20" t="s">
        <v>35</v>
      </c>
      <c r="M140" s="1">
        <f>SIN(-0.5*E140*PI()/180)</f>
        <v>0.88618650487859763</v>
      </c>
      <c r="N140" s="1">
        <f>SIN(0.5*E139*PI()/180)</f>
        <v>0</v>
      </c>
      <c r="O140" s="1">
        <f>SIN(0.5*E138*PI()/180)</f>
        <v>0</v>
      </c>
    </row>
    <row r="141" spans="1:20" hidden="1" x14ac:dyDescent="0.2">
      <c r="A141" s="26"/>
      <c r="G141" s="1"/>
      <c r="H141" s="19" t="s">
        <v>36</v>
      </c>
      <c r="I141" s="19" t="s">
        <v>37</v>
      </c>
      <c r="J141" s="19" t="s">
        <v>38</v>
      </c>
      <c r="K141" s="19" t="s">
        <v>882</v>
      </c>
      <c r="L141" s="19" t="s">
        <v>881</v>
      </c>
      <c r="M141" s="19" t="s">
        <v>523</v>
      </c>
      <c r="N141" s="19"/>
      <c r="O141" s="19"/>
    </row>
    <row r="142" spans="1:20" hidden="1" x14ac:dyDescent="0.2">
      <c r="G142" s="1" t="s">
        <v>39</v>
      </c>
      <c r="H142" s="19">
        <f>-2*H139*I139+2*J139*K139</f>
        <v>-0.82119127167611317</v>
      </c>
      <c r="I142" s="19">
        <f>2*H139*J139+2*I139*K139</f>
        <v>0</v>
      </c>
      <c r="J142" s="19">
        <f>H139*H139-I139*I139-J139*J139+K139*K139</f>
        <v>-0.57065304285788954</v>
      </c>
      <c r="K142" s="19">
        <f>IF(ABS(I142)&lt;0.99999,ATAN(I142/SQRT(H142*H142+J142*J142)),SIGN(I142)*1000)</f>
        <v>0</v>
      </c>
      <c r="L142" s="19">
        <f>IF(ABS(I142)&lt;0.99999,180/PI()*ATAN(I142/SQRT(H142*H142+J142*J142)),SIGN(I142)*90)</f>
        <v>0</v>
      </c>
      <c r="M142" s="19">
        <f>IF(ABS(H142)&gt;0.00001,IF(H142&gt;0,90-180/PI()*ATAN(J142/H142),-90-180/PI()*ATAN(J142/H142)),-90+SIGN(J142)*90)</f>
        <v>-124.79577698150221</v>
      </c>
      <c r="N142" s="19"/>
      <c r="O142" s="19"/>
    </row>
    <row r="143" spans="1:20" x14ac:dyDescent="0.2">
      <c r="A143" s="25" t="s">
        <v>1326</v>
      </c>
      <c r="G143" s="1"/>
      <c r="H143" s="19"/>
      <c r="I143" s="19"/>
      <c r="K143" s="77"/>
      <c r="L143" s="19"/>
      <c r="M143" s="19"/>
      <c r="N143" s="19"/>
      <c r="O143" s="19"/>
      <c r="T143" s="77"/>
    </row>
    <row r="144" spans="1:20" x14ac:dyDescent="0.2">
      <c r="A144" s="56" t="s">
        <v>877</v>
      </c>
      <c r="B144" s="13" t="s">
        <v>878</v>
      </c>
      <c r="C144" s="65" t="str">
        <f>CONCATENATE(TEXT(H140,"0.000000")," ",TEXT(I140,"0.000000")," ",TEXT(J140,"0.000000")," ",TEXT(K140,"0.000000"))</f>
        <v>0.000000 0.886187 0.000000 0.463329</v>
      </c>
      <c r="G144" s="1"/>
      <c r="H144" s="1"/>
      <c r="I144" s="1"/>
      <c r="J144" s="1"/>
      <c r="K144" s="1"/>
      <c r="L144" s="1"/>
      <c r="M144" s="1"/>
      <c r="N144" s="1"/>
      <c r="O144" s="1"/>
    </row>
    <row r="145" spans="1:20" hidden="1" x14ac:dyDescent="0.2">
      <c r="A145" s="13"/>
      <c r="B145" s="13"/>
      <c r="C145" s="13"/>
      <c r="G145" s="1"/>
      <c r="H145" s="1"/>
      <c r="I145" s="1"/>
      <c r="K145" s="77"/>
      <c r="L145" s="1"/>
      <c r="M145" s="1"/>
      <c r="N145" s="1"/>
      <c r="O145" s="1"/>
      <c r="T145" s="77"/>
    </row>
    <row r="146" spans="1:20" hidden="1" x14ac:dyDescent="0.2">
      <c r="A146" s="19" t="s">
        <v>1325</v>
      </c>
      <c r="B146" s="19"/>
      <c r="C146" s="19" t="s">
        <v>1322</v>
      </c>
      <c r="D146" s="19"/>
      <c r="E146" s="91">
        <v>0</v>
      </c>
      <c r="F146" s="1" t="s">
        <v>1076</v>
      </c>
      <c r="G146" s="1"/>
      <c r="H146" s="1" t="s">
        <v>844</v>
      </c>
      <c r="I146" s="1" t="s">
        <v>845</v>
      </c>
      <c r="J146" s="1" t="s">
        <v>846</v>
      </c>
      <c r="K146" s="1" t="s">
        <v>847</v>
      </c>
      <c r="L146" s="1"/>
      <c r="M146" s="1" t="s">
        <v>163</v>
      </c>
      <c r="N146" s="1" t="s">
        <v>526</v>
      </c>
      <c r="O146" s="1" t="s">
        <v>527</v>
      </c>
    </row>
    <row r="147" spans="1:20" hidden="1" x14ac:dyDescent="0.2">
      <c r="A147" s="19"/>
      <c r="B147" s="19"/>
      <c r="C147" s="19" t="s">
        <v>1323</v>
      </c>
      <c r="D147" s="19"/>
      <c r="E147" s="91">
        <f>E106</f>
        <v>4.8295534258083803</v>
      </c>
      <c r="F147" s="1" t="s">
        <v>1076</v>
      </c>
      <c r="G147" s="1" t="s">
        <v>856</v>
      </c>
      <c r="H147" s="19">
        <f>M147*N147*O147+M148*N148*O148</f>
        <v>0.99911199704424458</v>
      </c>
      <c r="I147" s="19">
        <f>M148*N147*O147-M147*N148*O148</f>
        <v>0</v>
      </c>
      <c r="J147" s="19">
        <f>M147*N148*O147+M148*N147*O148</f>
        <v>4.2133328402364424E-2</v>
      </c>
      <c r="K147" s="19">
        <f>M147*N147*O148-M148*N148*O147</f>
        <v>0</v>
      </c>
      <c r="L147" s="20" t="s">
        <v>34</v>
      </c>
      <c r="M147" s="1">
        <f>COS(-0.5*E148*PI()/180)</f>
        <v>1</v>
      </c>
      <c r="N147" s="1">
        <f>COS(0.5*E147*PI()/180)</f>
        <v>0.99911199704424458</v>
      </c>
      <c r="O147" s="1">
        <f>COS(0.5*E146*PI()/180)</f>
        <v>1</v>
      </c>
    </row>
    <row r="148" spans="1:20" hidden="1" x14ac:dyDescent="0.2">
      <c r="A148" s="19"/>
      <c r="B148" s="19"/>
      <c r="C148" s="19" t="s">
        <v>694</v>
      </c>
      <c r="D148" s="19"/>
      <c r="E148" s="91">
        <v>0</v>
      </c>
      <c r="F148" s="1" t="s">
        <v>1076</v>
      </c>
      <c r="G148" s="1" t="s">
        <v>857</v>
      </c>
      <c r="H148" s="1">
        <f>J147</f>
        <v>4.2133328402364424E-2</v>
      </c>
      <c r="I148" s="1">
        <f>I147</f>
        <v>0</v>
      </c>
      <c r="J148" s="1">
        <f>K147</f>
        <v>0</v>
      </c>
      <c r="K148" s="1">
        <f>H147</f>
        <v>0.99911199704424458</v>
      </c>
      <c r="L148" s="20" t="s">
        <v>35</v>
      </c>
      <c r="M148" s="1">
        <f>SIN(-0.5*E148*PI()/180)</f>
        <v>0</v>
      </c>
      <c r="N148" s="1">
        <f>SIN(0.5*E147*PI()/180)</f>
        <v>4.2133328402364424E-2</v>
      </c>
      <c r="O148" s="1">
        <f>SIN(0.5*E146*PI()/180)</f>
        <v>0</v>
      </c>
    </row>
    <row r="149" spans="1:20" hidden="1" x14ac:dyDescent="0.2">
      <c r="A149" s="26"/>
      <c r="G149" s="1"/>
      <c r="H149" s="19" t="s">
        <v>36</v>
      </c>
      <c r="I149" s="19" t="s">
        <v>37</v>
      </c>
      <c r="J149" s="19" t="s">
        <v>38</v>
      </c>
      <c r="K149" s="19" t="s">
        <v>882</v>
      </c>
      <c r="L149" s="19" t="s">
        <v>881</v>
      </c>
      <c r="M149" s="19" t="s">
        <v>523</v>
      </c>
      <c r="N149" s="19"/>
      <c r="O149" s="19"/>
    </row>
    <row r="150" spans="1:20" hidden="1" x14ac:dyDescent="0.2">
      <c r="G150" s="1" t="s">
        <v>39</v>
      </c>
      <c r="H150" s="19">
        <f>-2*H147*I147+2*J147*K147</f>
        <v>0</v>
      </c>
      <c r="I150" s="19">
        <f>2*H147*J147+2*I147*K147</f>
        <v>8.4191827764414626E-2</v>
      </c>
      <c r="J150" s="19">
        <f>H147*H147-I147*I147-J147*J147+K147*K147</f>
        <v>0.99644956527547712</v>
      </c>
      <c r="K150" s="19">
        <f>IF(ABS(I150)&lt;0.99999,ATAN(I150/SQRT(H150*H150+J150*J150)),SIGN(I150)*1000)</f>
        <v>8.4291608681327901E-2</v>
      </c>
      <c r="L150" s="19">
        <f>IF(ABS(I150)&lt;0.99999,180/PI()*ATAN(I150/SQRT(H150*H150+J150*J150)),SIGN(I150)*90)</f>
        <v>4.8295534258083794</v>
      </c>
      <c r="M150" s="19">
        <f>IF(ABS(H150)&gt;0.00001,IF(H150&gt;0,90-180/PI()*ATAN(J150/H150),-90-180/PI()*ATAN(J150/H150)),-90+SIGN(J150)*90)</f>
        <v>0</v>
      </c>
      <c r="N150" s="19"/>
      <c r="O150" s="19"/>
    </row>
    <row r="151" spans="1:20" hidden="1" x14ac:dyDescent="0.2">
      <c r="E151" s="91"/>
      <c r="F151" s="91"/>
      <c r="G151" s="1"/>
      <c r="H151" s="19"/>
      <c r="I151" s="19"/>
      <c r="J151" s="19"/>
      <c r="K151" s="19"/>
      <c r="L151" s="19"/>
      <c r="M151" s="19"/>
      <c r="N151" s="19"/>
      <c r="O151" s="19"/>
    </row>
    <row r="152" spans="1:20" hidden="1" x14ac:dyDescent="0.2">
      <c r="A152" s="19" t="s">
        <v>1325</v>
      </c>
      <c r="B152" s="19"/>
      <c r="C152" s="19" t="s">
        <v>1322</v>
      </c>
      <c r="D152" s="12"/>
      <c r="E152" s="91">
        <v>0</v>
      </c>
      <c r="F152" s="91" t="s">
        <v>1076</v>
      </c>
      <c r="G152" s="1"/>
      <c r="H152" s="1" t="s">
        <v>850</v>
      </c>
      <c r="I152" s="1" t="s">
        <v>851</v>
      </c>
      <c r="J152" s="1" t="s">
        <v>852</v>
      </c>
      <c r="K152" s="1" t="s">
        <v>853</v>
      </c>
      <c r="L152" s="1"/>
      <c r="M152" s="1" t="s">
        <v>163</v>
      </c>
      <c r="N152" s="1" t="s">
        <v>526</v>
      </c>
      <c r="O152" s="1" t="s">
        <v>527</v>
      </c>
    </row>
    <row r="153" spans="1:20" hidden="1" x14ac:dyDescent="0.2">
      <c r="A153" s="19"/>
      <c r="C153" s="19" t="s">
        <v>1323</v>
      </c>
      <c r="D153" s="12"/>
      <c r="E153" s="91">
        <v>0</v>
      </c>
      <c r="F153" s="91" t="s">
        <v>1076</v>
      </c>
      <c r="G153" s="1" t="s">
        <v>855</v>
      </c>
      <c r="H153" s="19">
        <f>M153*N153*O153+M154*N154*O154</f>
        <v>0.46332869387839049</v>
      </c>
      <c r="I153" s="19">
        <f>M154*N153*O153-M153*N154*O154</f>
        <v>0.88618650487859763</v>
      </c>
      <c r="J153" s="19">
        <f>M153*N154*O153+M154*N153*O154</f>
        <v>0</v>
      </c>
      <c r="K153" s="19">
        <f>M153*N153*O154-M154*N154*O153</f>
        <v>0</v>
      </c>
      <c r="L153" s="20" t="s">
        <v>34</v>
      </c>
      <c r="M153" s="1">
        <f>COS(-0.5*E154*PI()/180)</f>
        <v>0.46332869387839049</v>
      </c>
      <c r="N153" s="1">
        <f>COS(0.5*E153*PI()/180)</f>
        <v>1</v>
      </c>
      <c r="O153" s="1">
        <f>COS(0.5*E152*PI()/180)</f>
        <v>1</v>
      </c>
    </row>
    <row r="154" spans="1:20" hidden="1" x14ac:dyDescent="0.2">
      <c r="A154" s="19"/>
      <c r="C154" s="19" t="s">
        <v>694</v>
      </c>
      <c r="D154" s="12"/>
      <c r="E154" s="91">
        <f>E105</f>
        <v>-124.79577698150223</v>
      </c>
      <c r="F154" s="91" t="s">
        <v>1076</v>
      </c>
      <c r="G154" s="1" t="s">
        <v>854</v>
      </c>
      <c r="H154" s="19">
        <f>H153*H147-I153*I147-J153*J147-K153*K147</f>
        <v>0.46291725662874017</v>
      </c>
      <c r="I154" s="19">
        <f>H153*I147+I153*H147+J153*K147-K153*J147</f>
        <v>0.88539956864291491</v>
      </c>
      <c r="J154" s="19">
        <f>H153*J147-I153*K147+J153*H147+K153*I147</f>
        <v>1.9521580017416801E-2</v>
      </c>
      <c r="K154" s="19">
        <f>H153*K147+I153*J147-J153*I147+K153*H147</f>
        <v>3.7337987035793475E-2</v>
      </c>
      <c r="L154" s="20" t="s">
        <v>35</v>
      </c>
      <c r="M154" s="1">
        <f>SIN(-0.5*E154*PI()/180)</f>
        <v>0.88618650487859763</v>
      </c>
      <c r="N154" s="1">
        <f>SIN(0.5*E153*PI()/180)</f>
        <v>0</v>
      </c>
      <c r="O154" s="1">
        <f>SIN(0.5*E152*PI()/180)</f>
        <v>0</v>
      </c>
    </row>
    <row r="155" spans="1:20" hidden="1" x14ac:dyDescent="0.2">
      <c r="A155" s="26" t="str">
        <f>T(IF(SIGN(ABS(E152))+SIGN(ABS(E153))+SIGN(ABS(E154))&gt;1,"NEED TWO ZERO ANGLES ABOVE!!",""))</f>
        <v/>
      </c>
      <c r="E155" s="91"/>
      <c r="F155" s="91"/>
      <c r="G155" s="1" t="s">
        <v>848</v>
      </c>
      <c r="H155" s="1">
        <f>J154</f>
        <v>1.9521580017416801E-2</v>
      </c>
      <c r="I155" s="1">
        <f>I154</f>
        <v>0.88539956864291491</v>
      </c>
      <c r="J155" s="1">
        <f>K154</f>
        <v>3.7337987035793475E-2</v>
      </c>
      <c r="K155" s="1">
        <f>H154</f>
        <v>0.46291725662874017</v>
      </c>
      <c r="L155" s="20"/>
      <c r="M155" s="1"/>
      <c r="N155" s="1"/>
      <c r="O155" s="1"/>
    </row>
    <row r="156" spans="1:20" hidden="1" x14ac:dyDescent="0.2">
      <c r="G156" s="1"/>
      <c r="H156" s="19" t="s">
        <v>36</v>
      </c>
      <c r="I156" s="19" t="s">
        <v>37</v>
      </c>
      <c r="J156" s="19" t="s">
        <v>38</v>
      </c>
      <c r="K156" s="19" t="s">
        <v>882</v>
      </c>
      <c r="L156" s="19" t="s">
        <v>881</v>
      </c>
      <c r="M156" s="19" t="s">
        <v>1075</v>
      </c>
      <c r="N156" s="19"/>
      <c r="O156" s="19"/>
    </row>
    <row r="157" spans="1:20" hidden="1" x14ac:dyDescent="0.2">
      <c r="G157" s="1" t="s">
        <v>39</v>
      </c>
      <c r="H157" s="19">
        <f>-2*H154*I154+2*J154*K154</f>
        <v>-0.81827568566967912</v>
      </c>
      <c r="I157" s="19">
        <f>2*H154*J154+2*I154*K154</f>
        <v>8.4191827764414626E-2</v>
      </c>
      <c r="J157" s="19">
        <f>H154*H154-I154*I154-J154*J154+K154*K154</f>
        <v>-0.56862697647887217</v>
      </c>
      <c r="K157" s="19">
        <f>IF(ABS(I157)&lt;0.99999,ATAN(I157/SQRT(H157*H157+J157*J157)),SIGN(I157)*1000)</f>
        <v>8.4291608681327901E-2</v>
      </c>
      <c r="L157" s="19">
        <f>IF(ABS(I157)&lt;0.99999,180/PI()*ATAN(I157/SQRT(H157*H157+J157*J157)),SIGN(I157)*90)</f>
        <v>4.8295534258083794</v>
      </c>
      <c r="M157" s="19">
        <f>IF(ABS(H157)&gt;0.00001,IF(H157&gt;0,90-180/PI()*ATAN(J157/H157),-90-180/PI()*ATAN(J157/H157)),-90+SIGN(J157)*90)</f>
        <v>-124.79577698150221</v>
      </c>
      <c r="N157" s="19"/>
      <c r="O157" s="19"/>
    </row>
    <row r="158" spans="1:20" x14ac:dyDescent="0.2">
      <c r="A158" s="25" t="s">
        <v>1327</v>
      </c>
      <c r="G158" s="1"/>
      <c r="H158" s="19"/>
      <c r="I158" s="19"/>
      <c r="K158" s="77"/>
      <c r="L158" s="19"/>
      <c r="M158" s="19"/>
      <c r="N158" s="19"/>
      <c r="O158" s="19"/>
      <c r="T158" s="77"/>
    </row>
    <row r="159" spans="1:20" x14ac:dyDescent="0.2">
      <c r="A159" s="56" t="s">
        <v>877</v>
      </c>
      <c r="B159" s="13" t="s">
        <v>878</v>
      </c>
      <c r="C159" s="65" t="str">
        <f>CONCATENATE(TEXT(H155,"0.000000")," ",TEXT(I155,"0.000000")," ",TEXT(J155,"0.000000")," ",TEXT(K155,"0.000000"))</f>
        <v>0.019522 0.885400 0.037338 0.462917</v>
      </c>
      <c r="G159" s="1"/>
      <c r="H159" s="1"/>
      <c r="I159" s="1"/>
      <c r="J159" s="1"/>
      <c r="K159" s="1"/>
      <c r="L159" s="1"/>
      <c r="M159" s="1"/>
      <c r="N159" s="1"/>
      <c r="O159" s="1"/>
    </row>
    <row r="160" spans="1:20" x14ac:dyDescent="0.2">
      <c r="G160" s="1"/>
      <c r="H160" s="1"/>
      <c r="I160" s="1"/>
      <c r="J160" s="1"/>
      <c r="K160" s="1"/>
      <c r="L160" s="1"/>
      <c r="M160" s="1"/>
      <c r="N160" s="1"/>
      <c r="O160" s="1"/>
    </row>
    <row r="161" spans="1:15" x14ac:dyDescent="0.2">
      <c r="A161" s="82" t="s">
        <v>1176</v>
      </c>
      <c r="B161" s="10"/>
      <c r="C161" s="10"/>
      <c r="D161" s="10"/>
      <c r="E161" s="10"/>
      <c r="F161" s="10"/>
      <c r="G161" s="86"/>
      <c r="H161" s="1"/>
      <c r="I161" s="1"/>
      <c r="J161" s="1"/>
      <c r="K161" s="1"/>
      <c r="L161" s="1"/>
      <c r="M161" s="1"/>
      <c r="N161" s="1"/>
      <c r="O161" s="1"/>
    </row>
    <row r="162" spans="1:15" x14ac:dyDescent="0.2">
      <c r="G162" s="1"/>
      <c r="H162" s="19"/>
      <c r="I162" s="19"/>
      <c r="J162" s="19"/>
      <c r="K162" s="19"/>
      <c r="L162" s="20"/>
      <c r="M162" s="1"/>
      <c r="N162" s="1"/>
      <c r="O162" s="1"/>
    </row>
    <row r="163" spans="1:15" x14ac:dyDescent="0.2">
      <c r="B163" t="s">
        <v>1179</v>
      </c>
      <c r="G163" s="1"/>
      <c r="H163" s="19"/>
      <c r="I163" s="19"/>
      <c r="J163" s="19"/>
      <c r="K163" s="19"/>
      <c r="L163" s="20"/>
      <c r="M163" s="1"/>
      <c r="N163" s="1"/>
      <c r="O163" s="1"/>
    </row>
    <row r="164" spans="1:15" x14ac:dyDescent="0.2">
      <c r="G164" s="1"/>
      <c r="H164" s="19"/>
      <c r="I164" s="19"/>
      <c r="J164" s="19"/>
      <c r="K164" s="19"/>
      <c r="L164" s="20"/>
      <c r="M164" s="1"/>
      <c r="N164" s="1"/>
      <c r="O164" s="1"/>
    </row>
    <row r="165" spans="1:15" x14ac:dyDescent="0.2">
      <c r="A165" s="82" t="s">
        <v>1177</v>
      </c>
      <c r="B165" s="11"/>
      <c r="C165" s="10"/>
      <c r="D165" s="10"/>
      <c r="E165" s="10"/>
      <c r="F165" s="21"/>
      <c r="G165" s="21"/>
      <c r="H165" s="21"/>
      <c r="I165" s="19"/>
      <c r="J165" s="19"/>
      <c r="K165" s="19"/>
      <c r="L165" s="20"/>
      <c r="M165" s="1"/>
      <c r="N165" s="1"/>
      <c r="O165" s="1"/>
    </row>
    <row r="166" spans="1:15" x14ac:dyDescent="0.2">
      <c r="G166" s="1"/>
      <c r="H166" s="19"/>
      <c r="I166" s="19"/>
      <c r="J166" s="19"/>
      <c r="K166" s="19"/>
      <c r="L166" s="20"/>
      <c r="M166" s="1"/>
      <c r="N166" s="1"/>
      <c r="O166" s="1"/>
    </row>
    <row r="167" spans="1:15" x14ac:dyDescent="0.2">
      <c r="B167" s="13" t="s">
        <v>1182</v>
      </c>
      <c r="G167" s="1"/>
      <c r="H167" s="19"/>
      <c r="I167" s="19"/>
      <c r="J167" s="19"/>
      <c r="K167" s="19"/>
      <c r="L167" s="20"/>
      <c r="M167" s="1"/>
      <c r="N167" s="1"/>
      <c r="O167" s="1"/>
    </row>
    <row r="168" spans="1:15" x14ac:dyDescent="0.2">
      <c r="C168" t="s">
        <v>483</v>
      </c>
      <c r="G168" s="1"/>
      <c r="H168" s="19"/>
      <c r="I168" s="19"/>
      <c r="J168" s="19"/>
      <c r="K168" s="19"/>
      <c r="L168" s="20"/>
      <c r="M168" s="1"/>
      <c r="N168" s="1"/>
      <c r="O168" s="1"/>
    </row>
    <row r="169" spans="1:15" x14ac:dyDescent="0.2">
      <c r="C169" t="s">
        <v>484</v>
      </c>
      <c r="G169" s="1"/>
      <c r="H169" s="19"/>
      <c r="I169" s="19"/>
      <c r="J169" s="19"/>
      <c r="K169" s="19"/>
      <c r="L169" s="20"/>
      <c r="M169" s="1"/>
      <c r="N169" s="1"/>
      <c r="O169" s="1"/>
    </row>
    <row r="170" spans="1:15" x14ac:dyDescent="0.2">
      <c r="G170" s="1"/>
      <c r="H170" s="19"/>
      <c r="I170" s="19"/>
      <c r="J170" s="19"/>
      <c r="K170" s="19"/>
      <c r="L170" s="20"/>
      <c r="M170" s="1"/>
      <c r="N170" s="1"/>
      <c r="O170" s="1"/>
    </row>
    <row r="171" spans="1:15" x14ac:dyDescent="0.2">
      <c r="A171" s="82" t="s">
        <v>1178</v>
      </c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20"/>
      <c r="M171" s="1"/>
      <c r="N171" s="1"/>
      <c r="O171" s="1"/>
    </row>
    <row r="172" spans="1:15" x14ac:dyDescent="0.2">
      <c r="G172" s="1"/>
      <c r="H172" s="1"/>
      <c r="I172" s="1"/>
      <c r="J172" s="1"/>
      <c r="K172" s="1"/>
      <c r="L172" s="20"/>
      <c r="M172" s="1"/>
      <c r="N172" s="1"/>
      <c r="O172" s="1"/>
    </row>
    <row r="173" spans="1:15" x14ac:dyDescent="0.2">
      <c r="B173" t="s">
        <v>1360</v>
      </c>
      <c r="G173" s="1"/>
      <c r="H173" s="19"/>
      <c r="I173" s="19"/>
      <c r="J173" s="19"/>
      <c r="K173" s="19"/>
      <c r="L173" s="19"/>
      <c r="M173" s="21"/>
      <c r="N173" s="19"/>
      <c r="O173" s="19"/>
    </row>
    <row r="174" spans="1:15" s="28" customFormat="1" ht="13.5" thickBot="1" x14ac:dyDescent="0.25"/>
  </sheetData>
  <sheetProtection password="E795" sheet="1" objects="1" scenarios="1"/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Guide</vt:lpstr>
      <vt:lpstr>Set parallel</vt:lpstr>
      <vt:lpstr>Set antiparallel</vt:lpstr>
      <vt:lpstr>Stand vertical</vt:lpstr>
      <vt:lpstr>Stand perpendicular</vt:lpstr>
      <vt:lpstr>Lay across</vt:lpstr>
      <vt:lpstr>Line up</vt:lpstr>
      <vt:lpstr>Aim straight</vt:lpstr>
      <vt:lpstr>Aim with curve</vt:lpstr>
      <vt:lpstr>Curved track &amp; road</vt:lpstr>
      <vt:lpstr>Curved row</vt:lpstr>
      <vt:lpstr>Turn about OBJECT axes</vt:lpstr>
      <vt:lpstr>Turn about world axes</vt:lpstr>
      <vt:lpstr>Shift (no rotation)</vt:lpstr>
      <vt:lpstr>Parallel deviation</vt:lpstr>
      <vt:lpstr>Island split</vt:lpstr>
      <vt:lpstr>Next track section</vt:lpstr>
      <vt:lpstr>Rollercoaster curves</vt:lpstr>
      <vt:lpstr>S countercurve</vt:lpstr>
      <vt:lpstr>S joint</vt:lpstr>
      <vt:lpstr>Curved joint</vt:lpstr>
      <vt:lpstr>Data storage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</dc:creator>
  <cp:lastModifiedBy>vanhove</cp:lastModifiedBy>
  <dcterms:created xsi:type="dcterms:W3CDTF">2002-06-17T13:47:28Z</dcterms:created>
  <dcterms:modified xsi:type="dcterms:W3CDTF">2013-08-10T12:31:20Z</dcterms:modified>
</cp:coreProperties>
</file>